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Life Stats 2019\"/>
    </mc:Choice>
  </mc:AlternateContent>
  <xr:revisionPtr revIDLastSave="0" documentId="8_{4E4C20E9-C112-4292-ACCD-44DA2F99D5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mmary Sheet" sheetId="4" r:id="rId1"/>
    <sheet name="OF1" sheetId="5" r:id="rId2"/>
    <sheet name="OF2" sheetId="6" r:id="rId3"/>
    <sheet name="OF4" sheetId="7" r:id="rId4"/>
    <sheet name="A1" sheetId="8" r:id="rId5"/>
    <sheet name="TP1" sheetId="9" r:id="rId6"/>
    <sheet name="M1.1" sheetId="10" r:id="rId7"/>
    <sheet name="M1.2" sheetId="11" r:id="rId8"/>
    <sheet name="M1.3" sheetId="12" r:id="rId9"/>
    <sheet name="M2.1" sheetId="13" r:id="rId10"/>
    <sheet name="M2.2" sheetId="14" r:id="rId11"/>
    <sheet name="M2.3" sheetId="15" r:id="rId12"/>
  </sheets>
  <externalReferences>
    <externalReference r:id="rId13"/>
    <externalReference r:id="rId14"/>
  </externalReference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Parse_In" localSheetId="0" hidden="1">#REF!</definedName>
    <definedName name="_Parse_In" hidden="1">#REF!</definedName>
    <definedName name="_Parse_Out" hidden="1">#REF!</definedName>
    <definedName name="a" localSheetId="0" hidden="1">{#N/A,#N/A,FALSE,"Glossary"}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localSheetId="0" hidden="1">{#N/A,#N/A,FALSE,"Glossary"}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4" l="1"/>
  <c r="H37" i="4"/>
  <c r="H38" i="4"/>
  <c r="H30" i="4"/>
  <c r="H31" i="4"/>
  <c r="H29" i="4"/>
  <c r="B10" i="15" l="1"/>
  <c r="B13" i="15" s="1"/>
  <c r="C10" i="15"/>
  <c r="C13" i="15" s="1"/>
  <c r="B11" i="15"/>
  <c r="C11" i="15"/>
  <c r="B12" i="15"/>
  <c r="C12" i="15"/>
  <c r="B10" i="14"/>
  <c r="C10" i="14"/>
  <c r="D10" i="14"/>
  <c r="E10" i="14"/>
  <c r="F10" i="14"/>
  <c r="G10" i="14"/>
  <c r="H10" i="14"/>
  <c r="I10" i="14"/>
  <c r="J16" i="14"/>
  <c r="J19" i="14"/>
  <c r="J22" i="14"/>
  <c r="J23" i="14"/>
  <c r="J26" i="14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4" i="13"/>
  <c r="P15" i="13"/>
  <c r="P17" i="13"/>
  <c r="P18" i="13"/>
  <c r="P20" i="13"/>
  <c r="P21" i="13"/>
  <c r="P23" i="13"/>
  <c r="P24" i="13"/>
  <c r="P25" i="13"/>
  <c r="P27" i="13"/>
  <c r="P28" i="13"/>
  <c r="P29" i="13"/>
  <c r="B11" i="12"/>
  <c r="C11" i="12"/>
  <c r="D11" i="12"/>
  <c r="E11" i="12"/>
  <c r="F11" i="12"/>
  <c r="G11" i="12"/>
  <c r="H11" i="12"/>
  <c r="B12" i="12"/>
  <c r="C12" i="12"/>
  <c r="D12" i="12"/>
  <c r="E12" i="12"/>
  <c r="F12" i="12"/>
  <c r="G12" i="12"/>
  <c r="H12" i="12"/>
  <c r="B13" i="12"/>
  <c r="C13" i="12"/>
  <c r="D13" i="12"/>
  <c r="E13" i="12"/>
  <c r="F13" i="12"/>
  <c r="G13" i="12"/>
  <c r="H13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B10" i="11"/>
  <c r="C10" i="11"/>
  <c r="D10" i="11"/>
  <c r="E10" i="11"/>
  <c r="F10" i="11"/>
  <c r="H10" i="11"/>
  <c r="I10" i="11"/>
  <c r="J16" i="11"/>
  <c r="J19" i="11"/>
  <c r="J22" i="11"/>
  <c r="J23" i="11"/>
  <c r="J26" i="11"/>
  <c r="B10" i="10"/>
  <c r="C10" i="10"/>
  <c r="D10" i="10"/>
  <c r="E10" i="10"/>
  <c r="F10" i="10"/>
  <c r="G10" i="10"/>
  <c r="H10" i="10"/>
  <c r="I10" i="10"/>
  <c r="J10" i="10"/>
  <c r="K10" i="10"/>
  <c r="N10" i="10"/>
  <c r="O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P14" i="10"/>
  <c r="AC14" i="10"/>
  <c r="P15" i="10"/>
  <c r="AC15" i="10"/>
  <c r="P17" i="10"/>
  <c r="AC17" i="10"/>
  <c r="P18" i="10"/>
  <c r="AC18" i="10"/>
  <c r="P20" i="10"/>
  <c r="AC20" i="10"/>
  <c r="P21" i="10"/>
  <c r="AC21" i="10"/>
  <c r="P23" i="10"/>
  <c r="K29" i="4" s="1"/>
  <c r="AC23" i="10"/>
  <c r="L36" i="4" s="1"/>
  <c r="P24" i="10"/>
  <c r="AC24" i="10"/>
  <c r="P25" i="10"/>
  <c r="AC25" i="10"/>
  <c r="L37" i="4" s="1"/>
  <c r="P27" i="10"/>
  <c r="AC27" i="10"/>
  <c r="P28" i="10"/>
  <c r="AC28" i="10"/>
  <c r="P29" i="10"/>
  <c r="AC29" i="10"/>
  <c r="B10" i="9"/>
  <c r="B14" i="9" s="1"/>
  <c r="E57" i="6" s="1"/>
  <c r="D10" i="9"/>
  <c r="D14" i="9" s="1"/>
  <c r="F10" i="9"/>
  <c r="F14" i="9" s="1"/>
  <c r="E58" i="6" s="1"/>
  <c r="C18" i="5" s="1"/>
  <c r="I10" i="9"/>
  <c r="J10" i="9"/>
  <c r="K10" i="9" s="1"/>
  <c r="K11" i="9"/>
  <c r="M11" i="9"/>
  <c r="N11" i="9"/>
  <c r="K12" i="9"/>
  <c r="M12" i="9"/>
  <c r="N12" i="9"/>
  <c r="K13" i="9"/>
  <c r="M13" i="9"/>
  <c r="N13" i="9"/>
  <c r="K18" i="9"/>
  <c r="M18" i="9"/>
  <c r="N18" i="9"/>
  <c r="K19" i="9"/>
  <c r="M19" i="9"/>
  <c r="N19" i="9"/>
  <c r="K20" i="9"/>
  <c r="M20" i="9"/>
  <c r="N20" i="9"/>
  <c r="K21" i="9"/>
  <c r="M21" i="9"/>
  <c r="N21" i="9"/>
  <c r="C14" i="8"/>
  <c r="D14" i="8"/>
  <c r="F14" i="8"/>
  <c r="H14" i="8" s="1"/>
  <c r="G14" i="8"/>
  <c r="E15" i="8"/>
  <c r="H15" i="8"/>
  <c r="E16" i="8"/>
  <c r="H16" i="8"/>
  <c r="E17" i="8"/>
  <c r="H17" i="8"/>
  <c r="E18" i="8"/>
  <c r="H18" i="8"/>
  <c r="E19" i="8"/>
  <c r="H19" i="8"/>
  <c r="E20" i="8"/>
  <c r="H20" i="8"/>
  <c r="I20" i="8" s="1"/>
  <c r="E21" i="8"/>
  <c r="H21" i="8"/>
  <c r="E22" i="8"/>
  <c r="H22" i="8"/>
  <c r="C24" i="8"/>
  <c r="H9" i="4" s="1"/>
  <c r="D24" i="8"/>
  <c r="F24" i="8"/>
  <c r="G24" i="8"/>
  <c r="H24" i="8" s="1"/>
  <c r="E25" i="8"/>
  <c r="H25" i="8"/>
  <c r="E26" i="8"/>
  <c r="H26" i="8"/>
  <c r="E27" i="8"/>
  <c r="H27" i="8"/>
  <c r="E28" i="8"/>
  <c r="H28" i="8"/>
  <c r="I28" i="8" s="1"/>
  <c r="E29" i="8"/>
  <c r="H29" i="8"/>
  <c r="E30" i="8"/>
  <c r="H30" i="8"/>
  <c r="E31" i="8"/>
  <c r="H31" i="8"/>
  <c r="E32" i="8"/>
  <c r="H32" i="8"/>
  <c r="I32" i="8" s="1"/>
  <c r="E33" i="8"/>
  <c r="H33" i="8"/>
  <c r="C35" i="8"/>
  <c r="H10" i="4" s="1"/>
  <c r="D35" i="8"/>
  <c r="F35" i="8"/>
  <c r="G35" i="8"/>
  <c r="E36" i="8"/>
  <c r="H36" i="8"/>
  <c r="E37" i="8"/>
  <c r="H37" i="8"/>
  <c r="E38" i="8"/>
  <c r="H38" i="8"/>
  <c r="E39" i="8"/>
  <c r="H39" i="8"/>
  <c r="E40" i="8"/>
  <c r="H40" i="8"/>
  <c r="I40" i="8" s="1"/>
  <c r="C42" i="8"/>
  <c r="D42" i="8"/>
  <c r="F42" i="8"/>
  <c r="G42" i="8"/>
  <c r="E43" i="8"/>
  <c r="H43" i="8"/>
  <c r="E44" i="8"/>
  <c r="H44" i="8"/>
  <c r="I44" i="8" s="1"/>
  <c r="E45" i="8"/>
  <c r="H45" i="8"/>
  <c r="E46" i="8"/>
  <c r="H46" i="8"/>
  <c r="E47" i="8"/>
  <c r="H47" i="8"/>
  <c r="E48" i="8"/>
  <c r="H48" i="8"/>
  <c r="I48" i="8" s="1"/>
  <c r="E49" i="8"/>
  <c r="H49" i="8"/>
  <c r="E50" i="8"/>
  <c r="H50" i="8"/>
  <c r="E51" i="8"/>
  <c r="H51" i="8"/>
  <c r="C53" i="8"/>
  <c r="H12" i="4" s="1"/>
  <c r="D53" i="8"/>
  <c r="I12" i="4" s="1"/>
  <c r="F53" i="8"/>
  <c r="G53" i="8"/>
  <c r="E54" i="8"/>
  <c r="H54" i="8"/>
  <c r="E55" i="8"/>
  <c r="H55" i="8"/>
  <c r="E56" i="8"/>
  <c r="H56" i="8"/>
  <c r="I56" i="8" s="1"/>
  <c r="E57" i="8"/>
  <c r="H57" i="8"/>
  <c r="E58" i="8"/>
  <c r="H58" i="8"/>
  <c r="E59" i="8"/>
  <c r="H59" i="8"/>
  <c r="E60" i="8"/>
  <c r="H60" i="8"/>
  <c r="E61" i="8"/>
  <c r="H61" i="8"/>
  <c r="E62" i="8"/>
  <c r="H62" i="8"/>
  <c r="C64" i="8"/>
  <c r="H13" i="4" s="1"/>
  <c r="D64" i="8"/>
  <c r="F64" i="8"/>
  <c r="G64" i="8"/>
  <c r="H64" i="8" s="1"/>
  <c r="E65" i="8"/>
  <c r="H65" i="8"/>
  <c r="E66" i="8"/>
  <c r="H66" i="8"/>
  <c r="E67" i="8"/>
  <c r="H67" i="8"/>
  <c r="E68" i="8"/>
  <c r="H68" i="8"/>
  <c r="I68" i="8" s="1"/>
  <c r="E69" i="8"/>
  <c r="H69" i="8"/>
  <c r="E70" i="8"/>
  <c r="H70" i="8"/>
  <c r="E71" i="8"/>
  <c r="H71" i="8"/>
  <c r="E72" i="8"/>
  <c r="H72" i="8"/>
  <c r="I72" i="8" s="1"/>
  <c r="E73" i="8"/>
  <c r="H73" i="8"/>
  <c r="C75" i="8"/>
  <c r="H14" i="4" s="1"/>
  <c r="D75" i="8"/>
  <c r="I14" i="4" s="1"/>
  <c r="F75" i="8"/>
  <c r="G75" i="8"/>
  <c r="E76" i="8"/>
  <c r="H76" i="8"/>
  <c r="E77" i="8"/>
  <c r="H77" i="8"/>
  <c r="E78" i="8"/>
  <c r="H78" i="8"/>
  <c r="E79" i="8"/>
  <c r="H79" i="8"/>
  <c r="E80" i="8"/>
  <c r="H80" i="8"/>
  <c r="I80" i="8" s="1"/>
  <c r="E81" i="8"/>
  <c r="H81" i="8"/>
  <c r="C83" i="8"/>
  <c r="H15" i="4" s="1"/>
  <c r="D83" i="8"/>
  <c r="F83" i="8"/>
  <c r="G83" i="8"/>
  <c r="E84" i="8"/>
  <c r="H84" i="8"/>
  <c r="I84" i="8" s="1"/>
  <c r="E85" i="8"/>
  <c r="H85" i="8"/>
  <c r="E86" i="8"/>
  <c r="H86" i="8"/>
  <c r="E87" i="8"/>
  <c r="H87" i="8"/>
  <c r="E88" i="8"/>
  <c r="H88" i="8"/>
  <c r="I88" i="8" s="1"/>
  <c r="C90" i="8"/>
  <c r="D90" i="8"/>
  <c r="F90" i="8"/>
  <c r="G90" i="8"/>
  <c r="E91" i="8"/>
  <c r="H91" i="8"/>
  <c r="E92" i="8"/>
  <c r="H92" i="8"/>
  <c r="E93" i="8"/>
  <c r="H93" i="8"/>
  <c r="E94" i="8"/>
  <c r="H94" i="8"/>
  <c r="E9" i="7"/>
  <c r="E10" i="7"/>
  <c r="E15" i="7"/>
  <c r="E12" i="4" s="1"/>
  <c r="E24" i="7"/>
  <c r="E20" i="7" s="1"/>
  <c r="E30" i="7"/>
  <c r="E24" i="4" s="1"/>
  <c r="F14" i="6"/>
  <c r="F20" i="6"/>
  <c r="E30" i="6"/>
  <c r="F30" i="6"/>
  <c r="E37" i="6"/>
  <c r="F37" i="6"/>
  <c r="E51" i="6"/>
  <c r="F51" i="6"/>
  <c r="F55" i="6"/>
  <c r="E63" i="6"/>
  <c r="F63" i="6"/>
  <c r="E72" i="6"/>
  <c r="F72" i="6"/>
  <c r="E87" i="6"/>
  <c r="F87" i="6"/>
  <c r="E90" i="6"/>
  <c r="F90" i="6"/>
  <c r="E102" i="6"/>
  <c r="E98" i="6" s="1"/>
  <c r="E107" i="6"/>
  <c r="F107" i="6"/>
  <c r="F106" i="6" s="1"/>
  <c r="E111" i="6"/>
  <c r="C5" i="5"/>
  <c r="C6" i="5"/>
  <c r="C11" i="5"/>
  <c r="B3" i="4"/>
  <c r="E3" i="4"/>
  <c r="B4" i="4"/>
  <c r="E4" i="4"/>
  <c r="B8" i="4"/>
  <c r="E8" i="4"/>
  <c r="H8" i="4"/>
  <c r="B9" i="4"/>
  <c r="E9" i="4"/>
  <c r="B10" i="4"/>
  <c r="I10" i="4"/>
  <c r="B11" i="4"/>
  <c r="E11" i="4"/>
  <c r="H11" i="4"/>
  <c r="I11" i="4"/>
  <c r="B12" i="4"/>
  <c r="B13" i="4"/>
  <c r="B16" i="4"/>
  <c r="E16" i="4"/>
  <c r="H16" i="4"/>
  <c r="B17" i="4"/>
  <c r="E17" i="4"/>
  <c r="B18" i="4"/>
  <c r="B19" i="4"/>
  <c r="E19" i="4"/>
  <c r="B20" i="4"/>
  <c r="E20" i="4"/>
  <c r="B21" i="4"/>
  <c r="E21" i="4"/>
  <c r="B22" i="4"/>
  <c r="E22" i="4"/>
  <c r="B23" i="4"/>
  <c r="E23" i="4"/>
  <c r="B24" i="4"/>
  <c r="B25" i="4"/>
  <c r="B28" i="4"/>
  <c r="F28" i="4"/>
  <c r="G28" i="4"/>
  <c r="H28" i="4"/>
  <c r="I28" i="4"/>
  <c r="J28" i="4"/>
  <c r="K28" i="4"/>
  <c r="B29" i="4"/>
  <c r="F29" i="4"/>
  <c r="G29" i="4"/>
  <c r="I29" i="4"/>
  <c r="J29" i="4"/>
  <c r="B30" i="4"/>
  <c r="F30" i="4"/>
  <c r="G30" i="4"/>
  <c r="I30" i="4"/>
  <c r="J30" i="4"/>
  <c r="K30" i="4"/>
  <c r="B31" i="4"/>
  <c r="F31" i="4"/>
  <c r="G31" i="4"/>
  <c r="I31" i="4"/>
  <c r="J31" i="4"/>
  <c r="K31" i="4"/>
  <c r="B35" i="4"/>
  <c r="F35" i="4"/>
  <c r="G35" i="4"/>
  <c r="I35" i="4"/>
  <c r="J35" i="4"/>
  <c r="K35" i="4"/>
  <c r="B36" i="4"/>
  <c r="F36" i="4"/>
  <c r="G36" i="4"/>
  <c r="I36" i="4"/>
  <c r="J36" i="4"/>
  <c r="K36" i="4"/>
  <c r="B37" i="4"/>
  <c r="F37" i="4"/>
  <c r="G37" i="4"/>
  <c r="I37" i="4"/>
  <c r="J37" i="4"/>
  <c r="K37" i="4"/>
  <c r="B38" i="4"/>
  <c r="F38" i="4"/>
  <c r="G38" i="4"/>
  <c r="I38" i="4"/>
  <c r="J38" i="4"/>
  <c r="K38" i="4"/>
  <c r="L38" i="4"/>
  <c r="B42" i="4"/>
  <c r="F42" i="4"/>
  <c r="G42" i="4"/>
  <c r="H42" i="4"/>
  <c r="I42" i="4"/>
  <c r="J42" i="4"/>
  <c r="K42" i="4"/>
  <c r="L42" i="4"/>
  <c r="B43" i="4"/>
  <c r="F43" i="4"/>
  <c r="G43" i="4"/>
  <c r="H43" i="4"/>
  <c r="I43" i="4"/>
  <c r="J43" i="4"/>
  <c r="K43" i="4"/>
  <c r="L43" i="4"/>
  <c r="M43" i="4"/>
  <c r="B44" i="4"/>
  <c r="F44" i="4"/>
  <c r="G44" i="4"/>
  <c r="H44" i="4"/>
  <c r="I44" i="4"/>
  <c r="J44" i="4"/>
  <c r="K44" i="4"/>
  <c r="L44" i="4"/>
  <c r="B45" i="4"/>
  <c r="F45" i="4"/>
  <c r="G45" i="4"/>
  <c r="H45" i="4"/>
  <c r="I45" i="4"/>
  <c r="J45" i="4"/>
  <c r="K45" i="4"/>
  <c r="L45" i="4"/>
  <c r="F59" i="6" l="1"/>
  <c r="I93" i="8"/>
  <c r="E90" i="8"/>
  <c r="I85" i="8"/>
  <c r="I81" i="8"/>
  <c r="I77" i="8"/>
  <c r="I69" i="8"/>
  <c r="I61" i="8"/>
  <c r="I57" i="8"/>
  <c r="H53" i="8"/>
  <c r="I45" i="8"/>
  <c r="I37" i="8"/>
  <c r="I33" i="8"/>
  <c r="I29" i="8"/>
  <c r="I21" i="8"/>
  <c r="I17" i="8"/>
  <c r="I91" i="8"/>
  <c r="I87" i="8"/>
  <c r="H83" i="8"/>
  <c r="I79" i="8"/>
  <c r="H75" i="8"/>
  <c r="I71" i="8"/>
  <c r="I67" i="8"/>
  <c r="I59" i="8"/>
  <c r="I55" i="8"/>
  <c r="I47" i="8"/>
  <c r="I39" i="8"/>
  <c r="H35" i="8"/>
  <c r="I31" i="8"/>
  <c r="I27" i="8"/>
  <c r="E24" i="8"/>
  <c r="E22" i="6" s="1"/>
  <c r="I19" i="8"/>
  <c r="I15" i="8"/>
  <c r="M38" i="4"/>
  <c r="M37" i="4"/>
  <c r="I16" i="4"/>
  <c r="E5" i="4"/>
  <c r="I94" i="8"/>
  <c r="H90" i="8"/>
  <c r="I86" i="8"/>
  <c r="E83" i="8"/>
  <c r="I70" i="8"/>
  <c r="I66" i="8"/>
  <c r="I62" i="8"/>
  <c r="I58" i="8"/>
  <c r="I50" i="8"/>
  <c r="I46" i="8"/>
  <c r="H42" i="8"/>
  <c r="I38" i="8"/>
  <c r="E35" i="8"/>
  <c r="J10" i="4" s="1"/>
  <c r="I30" i="8"/>
  <c r="I26" i="8"/>
  <c r="I22" i="8"/>
  <c r="I18" i="8"/>
  <c r="G14" i="12"/>
  <c r="H14" i="12"/>
  <c r="E106" i="6"/>
  <c r="E118" i="6" s="1"/>
  <c r="F118" i="6"/>
  <c r="F78" i="6"/>
  <c r="F80" i="6" s="1"/>
  <c r="F44" i="6"/>
  <c r="E18" i="4"/>
  <c r="E25" i="4" s="1"/>
  <c r="E5" i="7"/>
  <c r="E35" i="7" s="1"/>
  <c r="E10" i="4"/>
  <c r="E13" i="4" s="1"/>
  <c r="I92" i="8"/>
  <c r="I78" i="8"/>
  <c r="E75" i="8"/>
  <c r="E27" i="6" s="1"/>
  <c r="J14" i="4"/>
  <c r="I76" i="8"/>
  <c r="I73" i="8"/>
  <c r="E64" i="8"/>
  <c r="E26" i="6" s="1"/>
  <c r="I13" i="4"/>
  <c r="I64" i="8"/>
  <c r="I65" i="8"/>
  <c r="I60" i="8"/>
  <c r="E53" i="8"/>
  <c r="E25" i="6" s="1"/>
  <c r="I54" i="8"/>
  <c r="I51" i="8"/>
  <c r="I49" i="8"/>
  <c r="E42" i="8"/>
  <c r="E24" i="6" s="1"/>
  <c r="I43" i="8"/>
  <c r="I36" i="8"/>
  <c r="I9" i="4"/>
  <c r="B8" i="8"/>
  <c r="I25" i="8"/>
  <c r="I24" i="8"/>
  <c r="B5" i="8"/>
  <c r="I16" i="8"/>
  <c r="H17" i="4"/>
  <c r="O21" i="9"/>
  <c r="N10" i="9"/>
  <c r="N14" i="9" s="1"/>
  <c r="E16" i="6" s="1"/>
  <c r="E14" i="6" s="1"/>
  <c r="O20" i="9"/>
  <c r="J14" i="9"/>
  <c r="O19" i="9"/>
  <c r="O18" i="9"/>
  <c r="M10" i="9"/>
  <c r="M14" i="9" s="1"/>
  <c r="O13" i="9"/>
  <c r="O12" i="9"/>
  <c r="K14" i="9"/>
  <c r="O11" i="9"/>
  <c r="L31" i="4"/>
  <c r="M31" i="4" s="1"/>
  <c r="I32" i="4"/>
  <c r="L30" i="4"/>
  <c r="M30" i="4" s="1"/>
  <c r="I39" i="4"/>
  <c r="G39" i="4"/>
  <c r="K39" i="4"/>
  <c r="M36" i="4"/>
  <c r="L29" i="4"/>
  <c r="M29" i="4" s="1"/>
  <c r="K32" i="4"/>
  <c r="H35" i="4"/>
  <c r="H39" i="4" s="1"/>
  <c r="G32" i="4"/>
  <c r="L28" i="4"/>
  <c r="M28" i="4" s="1"/>
  <c r="AC10" i="10"/>
  <c r="P10" i="10"/>
  <c r="J10" i="11"/>
  <c r="F14" i="12"/>
  <c r="D14" i="12"/>
  <c r="I13" i="12"/>
  <c r="E14" i="12"/>
  <c r="C14" i="12"/>
  <c r="I12" i="12"/>
  <c r="B14" i="12"/>
  <c r="I11" i="12"/>
  <c r="M45" i="4"/>
  <c r="N45" i="4" s="1"/>
  <c r="M44" i="4"/>
  <c r="N44" i="4" s="1"/>
  <c r="K46" i="4"/>
  <c r="I46" i="4"/>
  <c r="G46" i="4"/>
  <c r="N43" i="4"/>
  <c r="M42" i="4"/>
  <c r="N42" i="4" s="1"/>
  <c r="P10" i="13"/>
  <c r="J10" i="14"/>
  <c r="L46" i="4"/>
  <c r="J46" i="4"/>
  <c r="H46" i="4"/>
  <c r="F46" i="4"/>
  <c r="J32" i="4"/>
  <c r="H32" i="4"/>
  <c r="F32" i="4"/>
  <c r="L35" i="4"/>
  <c r="M35" i="4" s="1"/>
  <c r="J39" i="4"/>
  <c r="F39" i="4"/>
  <c r="I14" i="9"/>
  <c r="E56" i="6" s="1"/>
  <c r="I90" i="8"/>
  <c r="J16" i="4"/>
  <c r="E29" i="6"/>
  <c r="I83" i="8"/>
  <c r="E28" i="6"/>
  <c r="J15" i="4"/>
  <c r="B9" i="8"/>
  <c r="B4" i="8"/>
  <c r="I15" i="4"/>
  <c r="J9" i="4"/>
  <c r="I8" i="4"/>
  <c r="E14" i="8"/>
  <c r="J13" i="4" l="1"/>
  <c r="I35" i="8"/>
  <c r="I75" i="8"/>
  <c r="E23" i="6"/>
  <c r="B7" i="8"/>
  <c r="I53" i="8"/>
  <c r="J12" i="4"/>
  <c r="I42" i="8"/>
  <c r="J11" i="4"/>
  <c r="B3" i="8"/>
  <c r="I17" i="4"/>
  <c r="O10" i="9"/>
  <c r="O14" i="9" s="1"/>
  <c r="L32" i="4"/>
  <c r="M32" i="4" s="1"/>
  <c r="I14" i="12"/>
  <c r="M46" i="4"/>
  <c r="N46" i="4" s="1"/>
  <c r="L39" i="4"/>
  <c r="M39" i="4" s="1"/>
  <c r="E55" i="6"/>
  <c r="E59" i="6" s="1"/>
  <c r="E78" i="6" s="1"/>
  <c r="C19" i="5" s="1"/>
  <c r="C17" i="5"/>
  <c r="I14" i="8"/>
  <c r="E21" i="6"/>
  <c r="E20" i="6" s="1"/>
  <c r="E44" i="6" s="1"/>
  <c r="J8" i="4"/>
  <c r="J17" i="4" l="1"/>
  <c r="E80" i="6"/>
</calcChain>
</file>

<file path=xl/sharedStrings.xml><?xml version="1.0" encoding="utf-8"?>
<sst xmlns="http://schemas.openxmlformats.org/spreadsheetml/2006/main" count="688" uniqueCount="315">
  <si>
    <t>Total</t>
  </si>
  <si>
    <t>Combined</t>
  </si>
  <si>
    <t>Recurring premium business</t>
  </si>
  <si>
    <t>M21</t>
  </si>
  <si>
    <t>Investments</t>
  </si>
  <si>
    <t>Life</t>
  </si>
  <si>
    <t>Risk</t>
  </si>
  <si>
    <t>% Change</t>
  </si>
  <si>
    <t>Premiums @ end</t>
  </si>
  <si>
    <t>Other movements</t>
  </si>
  <si>
    <t>Premium increases</t>
  </si>
  <si>
    <t>Surrenders, lapses &amp; paid ups</t>
  </si>
  <si>
    <t>Maturities</t>
  </si>
  <si>
    <t>Claims</t>
  </si>
  <si>
    <t>New business</t>
  </si>
  <si>
    <t>Premiums @ start</t>
  </si>
  <si>
    <t>TOTAL RECURRING PREMIUMS (R'000)</t>
  </si>
  <si>
    <t>sheetname</t>
  </si>
  <si>
    <t>12MonthEnded</t>
  </si>
  <si>
    <t>Single premium business</t>
  </si>
  <si>
    <t>M11</t>
  </si>
  <si>
    <t>Policies @ the end</t>
  </si>
  <si>
    <t>Surrenders &amp; lapses</t>
  </si>
  <si>
    <t>Policies @ the start</t>
  </si>
  <si>
    <t>NUMBER OF SINGLE PREMIUM POLICIES</t>
  </si>
  <si>
    <t>Life annuities</t>
  </si>
  <si>
    <t>NUMBER OF RECURRING PREMIUM POLICIES</t>
  </si>
  <si>
    <t>Total outgo</t>
  </si>
  <si>
    <t>OF4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</si>
  <si>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</si>
  <si>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</si>
  <si>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</si>
  <si>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</si>
  <si>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</si>
  <si>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</si>
  <si>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</si>
  <si>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assets</t>
  </si>
  <si>
    <t>less reinsurance recoveries</t>
  </si>
  <si>
    <t>Property</t>
  </si>
  <si>
    <t>Gross claims and policyholder benefits</t>
  </si>
  <si>
    <t>Mortgages and Loans</t>
  </si>
  <si>
    <t>OUTGO (R'000)</t>
  </si>
  <si>
    <t>Cash and Deposits</t>
  </si>
  <si>
    <t>Collateralised Securities</t>
  </si>
  <si>
    <t>Total income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</si>
  <si>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</si>
  <si>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</si>
  <si>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</si>
  <si>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</si>
  <si>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</si>
  <si>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</si>
  <si>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</si>
  <si>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</si>
  <si>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</si>
  <si>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</si>
  <si>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Non-linked</t>
  </si>
  <si>
    <t>Linked</t>
  </si>
  <si>
    <t>ASSETS (R'000)</t>
  </si>
  <si>
    <t>INCOME (R'000)</t>
  </si>
  <si>
    <t>SCR cover ratio</t>
  </si>
  <si>
    <t>Own funds eligible to meet SCR (R'000)</t>
  </si>
  <si>
    <t>OF1</t>
  </si>
  <si>
    <t>SCR (R'000)</t>
  </si>
  <si>
    <t>FINANCIAL SOLVENCY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</si>
  <si>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</si>
  <si>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</si>
  <si>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</si>
  <si>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</si>
  <si>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</si>
  <si>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</si>
  <si>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</si>
  <si>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</si>
  <si>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</si>
  <si>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</si>
  <si>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Total Liabilities</t>
  </si>
  <si>
    <t>Total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</si>
  <si>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</si>
  <si>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</si>
  <si>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</si>
  <si>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</si>
  <si>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</si>
  <si>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</si>
  <si>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</si>
  <si>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</si>
  <si>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</si>
  <si>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</si>
  <si>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</si>
  <si>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</si>
  <si>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</si>
  <si>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</si>
  <si>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</si>
  <si>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</si>
  <si>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</si>
  <si>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</si>
  <si>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</si>
  <si>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</si>
  <si>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</si>
  <si>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</si>
  <si>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</si>
  <si>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</si>
  <si>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</si>
  <si>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</si>
  <si>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</si>
  <si>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</si>
  <si>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</si>
  <si>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</si>
  <si>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</si>
  <si>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</si>
  <si>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</si>
  <si>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</si>
  <si>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</si>
  <si>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</si>
  <si>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</si>
  <si>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</si>
  <si>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</si>
  <si>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</si>
  <si>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</si>
  <si>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</si>
  <si>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</si>
  <si>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</si>
  <si>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</si>
  <si>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</si>
  <si>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</si>
  <si>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</si>
  <si>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</si>
  <si>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</si>
  <si>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</si>
  <si>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</si>
  <si>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</si>
  <si>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</si>
  <si>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</si>
  <si>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</si>
  <si>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</si>
  <si>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</si>
  <si>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</si>
  <si>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</si>
  <si>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</si>
  <si>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</si>
  <si>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</si>
  <si>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</si>
  <si>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</si>
  <si>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</si>
  <si>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</si>
  <si>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</si>
  <si>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</si>
  <si>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</si>
  <si>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</si>
  <si>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Total Investments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</si>
  <si>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</si>
  <si>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</si>
  <si>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</si>
  <si>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</si>
  <si>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</si>
  <si>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</si>
  <si>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</si>
  <si>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</si>
  <si>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</si>
  <si>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</si>
  <si>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</si>
  <si>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</si>
  <si>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</si>
  <si>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</si>
  <si>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</si>
  <si>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</si>
  <si>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</si>
  <si>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</si>
  <si>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</si>
  <si>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</si>
  <si>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</si>
  <si>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</si>
  <si>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</si>
  <si>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</si>
  <si>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</si>
  <si>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</si>
  <si>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</si>
  <si>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</si>
  <si>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</si>
  <si>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</si>
  <si>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</si>
  <si>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</si>
  <si>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</si>
  <si>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</si>
  <si>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</si>
  <si>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</si>
  <si>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</si>
  <si>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</si>
  <si>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</si>
  <si>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</si>
  <si>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</si>
  <si>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</si>
  <si>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</si>
  <si>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</si>
  <si>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</si>
  <si>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</si>
  <si>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</si>
  <si>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</si>
  <si>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</si>
  <si>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</si>
  <si>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</si>
  <si>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</si>
  <si>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</si>
  <si>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</si>
  <si>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</si>
  <si>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</si>
  <si>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</si>
  <si>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</si>
  <si>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</si>
  <si>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</si>
  <si>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</si>
  <si>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</si>
  <si>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</si>
  <si>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</si>
  <si>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</si>
  <si>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</si>
  <si>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</si>
  <si>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</si>
  <si>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</si>
  <si>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</si>
  <si>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</si>
  <si>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</si>
  <si>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</si>
  <si>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</si>
  <si>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</si>
  <si>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</si>
  <si>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</si>
  <si>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</si>
  <si>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</si>
  <si>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</si>
  <si>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</si>
  <si>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</si>
  <si>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</si>
  <si>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</si>
  <si>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</si>
  <si>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</si>
  <si>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</si>
  <si>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</si>
  <si>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</si>
  <si>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</si>
  <si>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</si>
  <si>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</si>
  <si>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</si>
  <si>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</si>
  <si>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</si>
  <si>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</si>
  <si>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</si>
  <si>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</si>
  <si>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</si>
  <si>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</si>
  <si>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</si>
  <si>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</si>
  <si>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</si>
  <si>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</si>
  <si>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</si>
  <si>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</si>
  <si>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</si>
  <si>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</si>
  <si>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</si>
  <si>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</si>
  <si>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</si>
  <si>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</si>
  <si>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</si>
  <si>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</si>
  <si>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</si>
  <si>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</si>
  <si>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</si>
  <si>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</si>
  <si>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</si>
  <si>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</si>
  <si>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</si>
  <si>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</si>
  <si>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</si>
  <si>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</si>
  <si>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</si>
  <si>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</si>
  <si>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</si>
  <si>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</si>
  <si>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</si>
  <si>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</si>
  <si>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</si>
  <si>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</si>
  <si>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</si>
  <si>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</si>
  <si>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</si>
  <si>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</si>
  <si>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</si>
  <si>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</si>
  <si>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</si>
  <si>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</si>
  <si>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</si>
  <si>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</si>
  <si>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</si>
  <si>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</si>
  <si>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</si>
  <si>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</si>
  <si>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</si>
  <si>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</si>
  <si>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</si>
  <si>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</si>
  <si>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</si>
  <si>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</si>
  <si>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</si>
  <si>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</si>
  <si>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</si>
  <si>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</si>
  <si>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</si>
  <si>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</si>
  <si>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</si>
  <si>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</si>
  <si>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</si>
  <si>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</si>
  <si>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</si>
  <si>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</si>
  <si>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</si>
  <si>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</si>
  <si>
    <t>Summary Sheet (12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</si>
</sst>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 * #,##0_ ;_ * \-#,##0_ ;_ * &quot;-&quot;??_ ;_ @_ "/>
    <numFmt numFmtId="167" formatCode="0.0"/>
    <numFmt numFmtId="168" formatCode="_ * #,##0.0_ ;_ * \-#,##0.0_ ;_ * &quot;-&quot;??_ ;_ @_ "/>
    <numFmt numFmtId="169" formatCode="dd\-mmm\-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3">
    <xf numFmtId="0" fontId="0" fillId="0" borderId="0" xfId="0"/>
    <xf numFmtId="10" fontId="0" fillId="2" borderId="1" xfId="2" applyNumberFormat="1" applyFont="1" applyFill="1" applyBorder="1"/>
    <xf numFmtId="164" fontId="0" fillId="2" borderId="1" xfId="1" applyNumberFormat="1" applyFont="1" applyFill="1" applyBorder="1"/>
    <xf numFmtId="10" fontId="0" fillId="2" borderId="0" xfId="2" applyNumberFormat="1" applyFont="1" applyFill="1"/>
    <xf numFmtId="164" fontId="0" fillId="2" borderId="0" xfId="1" applyNumberFormat="1" applyFont="1" applyFill="1"/>
    <xf numFmtId="164" fontId="0" fillId="2" borderId="0" xfId="1" quotePrefix="1" applyNumberFormat="1" applyFont="1" applyFill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 wrapText="1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164" fontId="2" fillId="2" borderId="0" xfId="1" applyNumberFormat="1" applyFont="1" applyFill="1"/>
    <xf numFmtId="164" fontId="0" fillId="2" borderId="2" xfId="1" applyNumberFormat="1" applyFont="1" applyFill="1" applyBorder="1"/>
    <xf numFmtId="0" fontId="0" fillId="0" borderId="0" xfId="0" applyFont="1"/>
    <xf numFmtId="164" fontId="1" fillId="2" borderId="0" xfId="1" applyNumberFormat="1" applyFont="1" applyFill="1"/>
    <xf numFmtId="0" fontId="0" fillId="0" borderId="0" xfId="0" applyFont="1" applyFill="1"/>
    <xf numFmtId="164" fontId="2" fillId="2" borderId="0" xfId="0" applyNumberFormat="1" applyFont="1" applyFill="1"/>
    <xf numFmtId="0" fontId="0" fillId="0" borderId="0" xfId="0" applyFont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43" fontId="0" fillId="0" borderId="0" xfId="1" applyFont="1"/>
    <xf numFmtId="43" fontId="0" fillId="2" borderId="0" xfId="1" applyFont="1" applyFill="1"/>
    <xf numFmtId="0" fontId="4" fillId="3" borderId="3" xfId="0" applyFont="1" applyFill="1" applyBorder="1" applyAlignment="1">
      <alignment vertical="center"/>
    </xf>
    <xf numFmtId="0" fontId="5" fillId="0" borderId="0" xfId="0" applyFont="1"/>
    <xf numFmtId="166" fontId="7" fillId="4" borderId="4" xfId="3" applyNumberFormat="1" applyFont="1" applyFill="1" applyBorder="1" applyAlignment="1">
      <alignment vertical="center" shrinkToFit="1"/>
    </xf>
    <xf numFmtId="167" fontId="8" fillId="3" borderId="0" xfId="0" applyNumberFormat="1" applyFont="1" applyFill="1" applyAlignment="1">
      <alignment horizontal="center" vertical="center"/>
    </xf>
    <xf numFmtId="0" fontId="9" fillId="3" borderId="4" xfId="0" applyFont="1" applyFill="1" applyBorder="1" applyAlignment="1">
      <alignment horizontal="left" vertical="center" indent="2"/>
    </xf>
    <xf numFmtId="166" fontId="10" fillId="3" borderId="0" xfId="3" applyNumberFormat="1" applyFont="1" applyFill="1" applyAlignment="1">
      <alignment vertical="center"/>
    </xf>
    <xf numFmtId="167" fontId="11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6" fontId="14" fillId="4" borderId="4" xfId="3" applyNumberFormat="1" applyFont="1" applyFill="1" applyBorder="1" applyAlignment="1">
      <alignment vertical="center"/>
    </xf>
    <xf numFmtId="166" fontId="15" fillId="3" borderId="0" xfId="3" applyNumberFormat="1" applyFont="1" applyFill="1"/>
    <xf numFmtId="0" fontId="0" fillId="3" borderId="0" xfId="0" applyFill="1"/>
    <xf numFmtId="166" fontId="16" fillId="5" borderId="4" xfId="3" applyNumberFormat="1" applyFont="1" applyFill="1" applyBorder="1" applyAlignment="1">
      <alignment vertical="center"/>
    </xf>
    <xf numFmtId="165" fontId="16" fillId="5" borderId="4" xfId="3" applyFont="1" applyFill="1" applyBorder="1" applyAlignment="1">
      <alignment vertical="center"/>
    </xf>
    <xf numFmtId="168" fontId="13" fillId="3" borderId="0" xfId="3" applyNumberFormat="1" applyFont="1" applyFill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69" fontId="20" fillId="3" borderId="0" xfId="0" applyNumberFormat="1" applyFont="1" applyFill="1" applyAlignment="1">
      <alignment horizontal="center" vertical="center"/>
    </xf>
    <xf numFmtId="0" fontId="21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6" fontId="22" fillId="5" borderId="6" xfId="3" applyNumberFormat="1" applyFont="1" applyFill="1" applyBorder="1" applyAlignment="1">
      <alignment vertical="center" shrinkToFit="1"/>
    </xf>
    <xf numFmtId="166" fontId="22" fillId="5" borderId="7" xfId="3" applyNumberFormat="1" applyFont="1" applyFill="1" applyBorder="1" applyAlignment="1">
      <alignment vertical="center" shrinkToFit="1"/>
    </xf>
    <xf numFmtId="0" fontId="23" fillId="3" borderId="0" xfId="0" applyFont="1" applyFill="1" applyAlignment="1">
      <alignment vertical="center"/>
    </xf>
    <xf numFmtId="0" fontId="23" fillId="3" borderId="5" xfId="0" applyFont="1" applyFill="1" applyBorder="1" applyAlignment="1">
      <alignment vertical="center"/>
    </xf>
    <xf numFmtId="0" fontId="24" fillId="0" borderId="5" xfId="0" applyFont="1" applyBorder="1" applyAlignment="1">
      <alignment horizontal="left" vertical="center" indent="2"/>
    </xf>
    <xf numFmtId="166" fontId="25" fillId="3" borderId="0" xfId="3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6" fontId="26" fillId="6" borderId="4" xfId="3" applyNumberFormat="1" applyFont="1" applyFill="1" applyBorder="1" applyAlignment="1" applyProtection="1">
      <alignment vertical="center" shrinkToFit="1"/>
      <protection locked="0"/>
    </xf>
    <xf numFmtId="0" fontId="27" fillId="3" borderId="0" xfId="0" applyFont="1" applyFill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2"/>
    </xf>
    <xf numFmtId="0" fontId="29" fillId="0" borderId="4" xfId="0" applyFont="1" applyBorder="1" applyAlignment="1">
      <alignment horizontal="left" vertical="center" indent="4"/>
    </xf>
    <xf numFmtId="166" fontId="30" fillId="3" borderId="0" xfId="3" applyNumberFormat="1" applyFont="1" applyFill="1" applyAlignment="1">
      <alignment vertical="center"/>
    </xf>
    <xf numFmtId="0" fontId="31" fillId="3" borderId="4" xfId="0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 vertical="center" indent="6"/>
    </xf>
    <xf numFmtId="166" fontId="26" fillId="5" borderId="4" xfId="3" applyNumberFormat="1" applyFont="1" applyFill="1" applyBorder="1" applyAlignment="1">
      <alignment vertical="center" shrinkToFit="1"/>
    </xf>
    <xf numFmtId="0" fontId="28" fillId="3" borderId="4" xfId="0" applyFont="1" applyFill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166" fontId="26" fillId="6" borderId="8" xfId="3" applyNumberFormat="1" applyFont="1" applyFill="1" applyBorder="1" applyAlignment="1" applyProtection="1">
      <alignment vertical="center" shrinkToFit="1"/>
      <protection locked="0"/>
    </xf>
    <xf numFmtId="166" fontId="27" fillId="6" borderId="4" xfId="3" applyNumberFormat="1" applyFont="1" applyFill="1" applyBorder="1" applyAlignment="1" applyProtection="1">
      <alignment vertical="center" shrinkToFit="1"/>
      <protection locked="0"/>
    </xf>
    <xf numFmtId="166" fontId="26" fillId="5" borderId="9" xfId="3" applyNumberFormat="1" applyFont="1" applyFill="1" applyBorder="1" applyAlignment="1">
      <alignment vertical="center" shrinkToFit="1"/>
    </xf>
    <xf numFmtId="166" fontId="0" fillId="3" borderId="0" xfId="3" applyNumberFormat="1" applyFont="1" applyFill="1"/>
    <xf numFmtId="166" fontId="17" fillId="3" borderId="0" xfId="3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166" fontId="17" fillId="3" borderId="10" xfId="3" applyNumberFormat="1" applyFont="1" applyFill="1" applyBorder="1" applyAlignment="1">
      <alignment horizontal="center" vertical="center" wrapText="1"/>
    </xf>
    <xf numFmtId="166" fontId="17" fillId="3" borderId="11" xfId="3" applyNumberFormat="1" applyFont="1" applyFill="1" applyBorder="1" applyAlignment="1">
      <alignment horizontal="center" vertical="center" wrapText="1"/>
    </xf>
    <xf numFmtId="166" fontId="18" fillId="3" borderId="0" xfId="3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66" fontId="22" fillId="5" borderId="16" xfId="3" applyNumberFormat="1" applyFont="1" applyFill="1" applyBorder="1" applyAlignment="1">
      <alignment vertical="center" shrinkToFit="1"/>
    </xf>
    <xf numFmtId="166" fontId="1" fillId="3" borderId="0" xfId="3" applyNumberFormat="1" applyFill="1"/>
    <xf numFmtId="166" fontId="18" fillId="3" borderId="0" xfId="3" applyNumberFormat="1" applyFont="1" applyFill="1" applyAlignment="1">
      <alignment vertical="center" shrinkToFit="1"/>
    </xf>
    <xf numFmtId="0" fontId="13" fillId="0" borderId="0" xfId="0" applyFont="1" applyAlignment="1">
      <alignment vertical="center"/>
    </xf>
    <xf numFmtId="166" fontId="20" fillId="5" borderId="4" xfId="3" applyNumberFormat="1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 indent="2"/>
    </xf>
    <xf numFmtId="166" fontId="27" fillId="3" borderId="0" xfId="3" applyNumberFormat="1" applyFont="1" applyFill="1" applyAlignment="1">
      <alignment vertical="center" shrinkToFit="1"/>
    </xf>
    <xf numFmtId="0" fontId="5" fillId="3" borderId="0" xfId="0" applyFont="1" applyFill="1" applyAlignment="1">
      <alignment vertical="center"/>
    </xf>
    <xf numFmtId="0" fontId="33" fillId="3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 indent="2"/>
    </xf>
    <xf numFmtId="0" fontId="35" fillId="3" borderId="4" xfId="0" applyFont="1" applyFill="1" applyBorder="1" applyAlignment="1">
      <alignment horizontal="left" vertical="center" indent="4"/>
    </xf>
    <xf numFmtId="166" fontId="27" fillId="5" borderId="4" xfId="3" applyNumberFormat="1" applyFont="1" applyFill="1" applyBorder="1" applyAlignment="1">
      <alignment vertical="center" shrinkToFit="1"/>
    </xf>
    <xf numFmtId="166" fontId="6" fillId="3" borderId="0" xfId="3" applyNumberFormat="1" applyFont="1" applyFill="1" applyAlignment="1">
      <alignment vertical="center"/>
    </xf>
    <xf numFmtId="0" fontId="34" fillId="3" borderId="4" xfId="0" applyFont="1" applyFill="1" applyBorder="1" applyAlignment="1">
      <alignment horizontal="left" vertical="center" indent="2"/>
    </xf>
    <xf numFmtId="0" fontId="35" fillId="0" borderId="4" xfId="0" applyFont="1" applyBorder="1" applyAlignment="1">
      <alignment horizontal="left" vertical="center" indent="4"/>
    </xf>
    <xf numFmtId="166" fontId="6" fillId="3" borderId="0" xfId="3" applyNumberFormat="1" applyFont="1" applyFill="1"/>
    <xf numFmtId="166" fontId="17" fillId="3" borderId="17" xfId="3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/>
    </xf>
    <xf numFmtId="166" fontId="6" fillId="3" borderId="18" xfId="3" applyNumberFormat="1" applyFont="1" applyFill="1" applyBorder="1" applyAlignment="1">
      <alignment vertical="center"/>
    </xf>
    <xf numFmtId="166" fontId="27" fillId="6" borderId="9" xfId="3" applyNumberFormat="1" applyFont="1" applyFill="1" applyBorder="1" applyAlignment="1" applyProtection="1">
      <alignment vertical="center" shrinkToFit="1"/>
      <protection locked="0"/>
    </xf>
    <xf numFmtId="0" fontId="18" fillId="3" borderId="17" xfId="0" applyFont="1" applyFill="1" applyBorder="1" applyAlignment="1">
      <alignment vertical="center"/>
    </xf>
    <xf numFmtId="0" fontId="17" fillId="3" borderId="1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166" fontId="27" fillId="6" borderId="4" xfId="3" applyNumberFormat="1" applyFont="1" applyFill="1" applyBorder="1" applyAlignment="1" applyProtection="1">
      <alignment shrinkToFit="1"/>
      <protection locked="0"/>
    </xf>
    <xf numFmtId="0" fontId="18" fillId="3" borderId="0" xfId="0" applyFont="1" applyFill="1"/>
    <xf numFmtId="0" fontId="37" fillId="0" borderId="4" xfId="0" applyFont="1" applyBorder="1" applyAlignment="1">
      <alignment horizontal="center"/>
    </xf>
    <xf numFmtId="0" fontId="40" fillId="3" borderId="4" xfId="0" applyFont="1" applyFill="1" applyBorder="1" applyAlignment="1">
      <alignment horizontal="left" indent="2"/>
    </xf>
    <xf numFmtId="0" fontId="6" fillId="3" borderId="0" xfId="0" applyFont="1" applyFill="1"/>
    <xf numFmtId="166" fontId="41" fillId="5" borderId="4" xfId="3" applyNumberFormat="1" applyFont="1" applyFill="1" applyBorder="1" applyAlignment="1">
      <alignment vertical="center" shrinkToFit="1"/>
    </xf>
    <xf numFmtId="0" fontId="42" fillId="3" borderId="4" xfId="0" applyFont="1" applyFill="1" applyBorder="1" applyAlignment="1">
      <alignment horizontal="left" vertical="center" indent="2"/>
    </xf>
    <xf numFmtId="0" fontId="27" fillId="3" borderId="0" xfId="0" applyFont="1" applyFill="1"/>
    <xf numFmtId="0" fontId="34" fillId="0" borderId="4" xfId="0" applyFont="1" applyBorder="1" applyAlignment="1">
      <alignment horizontal="center"/>
    </xf>
    <xf numFmtId="49" fontId="27" fillId="6" borderId="4" xfId="0" applyNumberFormat="1" applyFont="1" applyFill="1" applyBorder="1" applyAlignment="1" applyProtection="1">
      <alignment horizontal="left" wrapText="1" indent="4"/>
      <protection locked="0"/>
    </xf>
    <xf numFmtId="166" fontId="27" fillId="5" borderId="4" xfId="3" applyNumberFormat="1" applyFont="1" applyFill="1" applyBorder="1" applyAlignment="1">
      <alignment shrinkToFit="1"/>
    </xf>
    <xf numFmtId="0" fontId="43" fillId="3" borderId="4" xfId="0" applyFont="1" applyFill="1" applyBorder="1" applyAlignment="1">
      <alignment horizontal="left" indent="4"/>
    </xf>
    <xf numFmtId="0" fontId="37" fillId="0" borderId="8" xfId="0" applyFont="1" applyBorder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169" fontId="20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1" fillId="3" borderId="3" xfId="0" applyFont="1" applyFill="1" applyBorder="1"/>
    <xf numFmtId="0" fontId="18" fillId="3" borderId="3" xfId="0" applyFont="1" applyFill="1" applyBorder="1"/>
    <xf numFmtId="0" fontId="0" fillId="3" borderId="0" xfId="0" applyFill="1" applyAlignment="1">
      <alignment vertical="center"/>
    </xf>
    <xf numFmtId="166" fontId="34" fillId="5" borderId="4" xfId="3" applyNumberFormat="1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left" vertical="center" indent="2"/>
    </xf>
    <xf numFmtId="166" fontId="44" fillId="5" borderId="4" xfId="3" applyNumberFormat="1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left" vertical="center"/>
    </xf>
    <xf numFmtId="166" fontId="0" fillId="3" borderId="0" xfId="3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left" vertical="center"/>
    </xf>
    <xf numFmtId="166" fontId="44" fillId="3" borderId="23" xfId="0" applyNumberFormat="1" applyFont="1" applyFill="1" applyBorder="1" applyAlignment="1">
      <alignment horizontal="center" vertical="center"/>
    </xf>
    <xf numFmtId="166" fontId="44" fillId="3" borderId="23" xfId="0" applyNumberFormat="1" applyFont="1" applyFill="1" applyBorder="1" applyAlignment="1">
      <alignment horizontal="center" vertical="center" wrapText="1"/>
    </xf>
    <xf numFmtId="166" fontId="26" fillId="5" borderId="12" xfId="3" applyNumberFormat="1" applyFont="1" applyFill="1" applyBorder="1" applyAlignment="1">
      <alignment horizontal="center" vertical="center"/>
    </xf>
    <xf numFmtId="0" fontId="35" fillId="3" borderId="29" xfId="0" applyFont="1" applyFill="1" applyBorder="1" applyAlignment="1">
      <alignment horizontal="left" vertical="center"/>
    </xf>
    <xf numFmtId="166" fontId="26" fillId="5" borderId="30" xfId="3" applyNumberFormat="1" applyFont="1" applyFill="1" applyBorder="1" applyAlignment="1">
      <alignment horizontal="center" vertical="center"/>
    </xf>
    <xf numFmtId="0" fontId="35" fillId="3" borderId="31" xfId="0" applyFont="1" applyFill="1" applyBorder="1" applyAlignment="1">
      <alignment horizontal="left" vertical="center"/>
    </xf>
    <xf numFmtId="166" fontId="45" fillId="5" borderId="32" xfId="3" applyNumberFormat="1" applyFont="1" applyFill="1" applyBorder="1" applyAlignment="1">
      <alignment vertical="center"/>
    </xf>
    <xf numFmtId="0" fontId="17" fillId="0" borderId="33" xfId="0" applyFont="1" applyBorder="1" applyAlignment="1">
      <alignment horizontal="left" vertical="center"/>
    </xf>
    <xf numFmtId="166" fontId="37" fillId="3" borderId="0" xfId="3" applyNumberFormat="1" applyFont="1" applyFill="1" applyAlignment="1">
      <alignment vertical="center"/>
    </xf>
    <xf numFmtId="0" fontId="21" fillId="3" borderId="0" xfId="0" applyFont="1" applyFill="1" applyAlignment="1">
      <alignment vertical="center"/>
    </xf>
    <xf numFmtId="169" fontId="46" fillId="3" borderId="3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166" fontId="41" fillId="5" borderId="4" xfId="3" applyNumberFormat="1" applyFont="1" applyFill="1" applyBorder="1" applyAlignment="1">
      <alignment horizontal="right" vertical="center" shrinkToFit="1"/>
    </xf>
    <xf numFmtId="166" fontId="27" fillId="6" borderId="4" xfId="3" applyNumberFormat="1" applyFont="1" applyFill="1" applyBorder="1" applyAlignment="1" applyProtection="1">
      <alignment horizontal="right" vertical="center" shrinkToFit="1"/>
      <protection locked="0"/>
    </xf>
    <xf numFmtId="166" fontId="27" fillId="3" borderId="0" xfId="3" applyNumberFormat="1" applyFont="1" applyFill="1" applyAlignment="1">
      <alignment vertical="center"/>
    </xf>
    <xf numFmtId="166" fontId="47" fillId="7" borderId="4" xfId="3" applyNumberFormat="1" applyFont="1" applyFill="1" applyBorder="1" applyAlignment="1" applyProtection="1">
      <alignment horizontal="center" vertical="center"/>
      <protection locked="0"/>
    </xf>
    <xf numFmtId="166" fontId="26" fillId="6" borderId="4" xfId="3" applyNumberFormat="1" applyFont="1" applyFill="1" applyBorder="1" applyAlignment="1" applyProtection="1">
      <alignment vertical="center"/>
      <protection locked="0"/>
    </xf>
    <xf numFmtId="166" fontId="1" fillId="3" borderId="0" xfId="3" applyNumberFormat="1" applyFill="1" applyAlignment="1">
      <alignment vertical="center"/>
    </xf>
    <xf numFmtId="0" fontId="34" fillId="3" borderId="4" xfId="0" applyFont="1" applyFill="1" applyBorder="1" applyAlignment="1">
      <alignment horizontal="left" vertical="center" wrapText="1"/>
    </xf>
    <xf numFmtId="166" fontId="34" fillId="3" borderId="34" xfId="3" applyNumberFormat="1" applyFont="1" applyFill="1" applyBorder="1" applyAlignment="1">
      <alignment horizontal="center" vertical="center" wrapText="1"/>
    </xf>
    <xf numFmtId="166" fontId="1" fillId="3" borderId="34" xfId="3" applyNumberForma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6" fontId="34" fillId="3" borderId="0" xfId="3" applyNumberFormat="1" applyFont="1" applyFill="1" applyAlignment="1">
      <alignment horizontal="center" vertical="center" wrapText="1"/>
    </xf>
    <xf numFmtId="0" fontId="34" fillId="3" borderId="35" xfId="0" applyFont="1" applyFill="1" applyBorder="1" applyAlignment="1">
      <alignment horizontal="center" vertical="center" wrapText="1"/>
    </xf>
    <xf numFmtId="0" fontId="1" fillId="3" borderId="0" xfId="0" applyFont="1" applyFill="1"/>
    <xf numFmtId="0" fontId="44" fillId="3" borderId="4" xfId="0" applyFont="1" applyFill="1" applyBorder="1" applyAlignment="1">
      <alignment horizontal="left" vertical="center" wrapText="1"/>
    </xf>
    <xf numFmtId="0" fontId="40" fillId="3" borderId="4" xfId="0" applyFont="1" applyFill="1" applyBorder="1" applyAlignment="1">
      <alignment horizontal="left" vertical="center" wrapText="1"/>
    </xf>
    <xf numFmtId="0" fontId="34" fillId="3" borderId="34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/>
    </xf>
    <xf numFmtId="0" fontId="34" fillId="3" borderId="17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 wrapText="1"/>
    </xf>
    <xf numFmtId="0" fontId="44" fillId="3" borderId="23" xfId="0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44" fillId="3" borderId="36" xfId="0" applyFont="1" applyFill="1" applyBorder="1" applyAlignment="1">
      <alignment horizontal="center" vertical="center" wrapText="1"/>
    </xf>
    <xf numFmtId="0" fontId="44" fillId="3" borderId="3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166" fontId="27" fillId="5" borderId="4" xfId="3" applyNumberFormat="1" applyFont="1" applyFill="1" applyBorder="1"/>
    <xf numFmtId="0" fontId="34" fillId="3" borderId="0" xfId="0" applyFont="1" applyFill="1"/>
    <xf numFmtId="0" fontId="48" fillId="3" borderId="0" xfId="0" applyFont="1" applyFill="1"/>
    <xf numFmtId="166" fontId="37" fillId="3" borderId="45" xfId="0" applyNumberFormat="1" applyFont="1" applyFill="1" applyBorder="1" applyAlignment="1">
      <alignment horizontal="center"/>
    </xf>
    <xf numFmtId="166" fontId="37" fillId="3" borderId="34" xfId="0" applyNumberFormat="1" applyFont="1" applyFill="1" applyBorder="1" applyAlignment="1">
      <alignment horizontal="center"/>
    </xf>
    <xf numFmtId="0" fontId="34" fillId="3" borderId="4" xfId="0" applyFont="1" applyFill="1" applyBorder="1" applyAlignment="1">
      <alignment horizontal="left" vertical="center"/>
    </xf>
    <xf numFmtId="0" fontId="0" fillId="3" borderId="45" xfId="0" applyFill="1" applyBorder="1"/>
    <xf numFmtId="0" fontId="0" fillId="3" borderId="34" xfId="0" applyFill="1" applyBorder="1"/>
    <xf numFmtId="166" fontId="17" fillId="3" borderId="10" xfId="0" applyNumberFormat="1" applyFont="1" applyFill="1" applyBorder="1" applyAlignment="1">
      <alignment horizontal="center" vertical="center" wrapText="1"/>
    </xf>
    <xf numFmtId="166" fontId="17" fillId="3" borderId="23" xfId="0" applyNumberFormat="1" applyFont="1" applyFill="1" applyBorder="1" applyAlignment="1">
      <alignment horizontal="center" vertical="center" wrapText="1"/>
    </xf>
    <xf numFmtId="166" fontId="17" fillId="3" borderId="11" xfId="0" applyNumberFormat="1" applyFont="1" applyFill="1" applyBorder="1" applyAlignment="1">
      <alignment horizontal="center" vertical="center" wrapText="1"/>
    </xf>
    <xf numFmtId="166" fontId="17" fillId="3" borderId="46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0" fontId="37" fillId="3" borderId="0" xfId="0" applyFont="1" applyFill="1"/>
    <xf numFmtId="166" fontId="27" fillId="5" borderId="4" xfId="3" applyNumberFormat="1" applyFont="1" applyFill="1" applyBorder="1" applyAlignment="1">
      <alignment horizontal="center"/>
    </xf>
    <xf numFmtId="166" fontId="34" fillId="3" borderId="0" xfId="3" applyNumberFormat="1" applyFont="1" applyFill="1"/>
    <xf numFmtId="166" fontId="34" fillId="3" borderId="45" xfId="0" applyNumberFormat="1" applyFont="1" applyFill="1" applyBorder="1" applyAlignment="1">
      <alignment horizontal="center"/>
    </xf>
    <xf numFmtId="166" fontId="34" fillId="3" borderId="34" xfId="0" applyNumberFormat="1" applyFont="1" applyFill="1" applyBorder="1" applyAlignment="1">
      <alignment horizontal="center"/>
    </xf>
    <xf numFmtId="0" fontId="18" fillId="8" borderId="0" xfId="0" applyFont="1" applyFill="1"/>
    <xf numFmtId="166" fontId="27" fillId="5" borderId="4" xfId="3" applyNumberFormat="1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34" fillId="3" borderId="45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left" vertical="center"/>
    </xf>
    <xf numFmtId="0" fontId="44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vertical="top"/>
    </xf>
    <xf numFmtId="166" fontId="41" fillId="5" borderId="4" xfId="3" applyNumberFormat="1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/>
    </xf>
    <xf numFmtId="0" fontId="44" fillId="3" borderId="45" xfId="0" applyFont="1" applyFill="1" applyBorder="1" applyAlignment="1">
      <alignment horizontal="center" vertical="center" wrapText="1"/>
    </xf>
    <xf numFmtId="0" fontId="44" fillId="3" borderId="3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4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34" fillId="3" borderId="48" xfId="0" applyFont="1" applyFill="1" applyBorder="1" applyAlignment="1">
      <alignment horizontal="left" vertical="center"/>
    </xf>
    <xf numFmtId="0" fontId="34" fillId="3" borderId="4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8" fillId="3" borderId="0" xfId="0" applyFont="1" applyFill="1" applyBorder="1"/>
    <xf numFmtId="0" fontId="4" fillId="3" borderId="0" xfId="0" applyFont="1" applyFill="1" applyBorder="1"/>
    <xf numFmtId="15" fontId="20" fillId="3" borderId="0" xfId="0" applyNumberFormat="1" applyFont="1" applyFill="1" applyAlignment="1">
      <alignment horizontal="center"/>
    </xf>
    <xf numFmtId="15" fontId="46" fillId="3" borderId="3" xfId="0" applyNumberFormat="1" applyFont="1" applyFill="1" applyBorder="1"/>
    <xf numFmtId="15" fontId="18" fillId="3" borderId="3" xfId="0" applyNumberFormat="1" applyFont="1" applyFill="1" applyBorder="1" applyAlignment="1">
      <alignment vertical="center"/>
    </xf>
    <xf numFmtId="15" fontId="4" fillId="3" borderId="3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169" fontId="20" fillId="3" borderId="3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166" fontId="17" fillId="3" borderId="14" xfId="3" applyNumberFormat="1" applyFont="1" applyFill="1" applyBorder="1" applyAlignment="1">
      <alignment horizontal="center" vertical="center" wrapText="1"/>
    </xf>
    <xf numFmtId="166" fontId="17" fillId="3" borderId="13" xfId="3" applyNumberFormat="1" applyFont="1" applyFill="1" applyBorder="1" applyAlignment="1">
      <alignment horizontal="center" vertical="center" wrapText="1"/>
    </xf>
    <xf numFmtId="166" fontId="44" fillId="3" borderId="13" xfId="0" applyNumberFormat="1" applyFont="1" applyFill="1" applyBorder="1" applyAlignment="1">
      <alignment horizontal="center" vertical="center"/>
    </xf>
    <xf numFmtId="166" fontId="44" fillId="3" borderId="10" xfId="0" applyNumberFormat="1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 wrapText="1"/>
    </xf>
    <xf numFmtId="0" fontId="44" fillId="3" borderId="25" xfId="0" applyFont="1" applyFill="1" applyBorder="1" applyAlignment="1">
      <alignment horizontal="center" vertical="center" wrapText="1"/>
    </xf>
    <xf numFmtId="166" fontId="44" fillId="3" borderId="27" xfId="0" applyNumberFormat="1" applyFont="1" applyFill="1" applyBorder="1" applyAlignment="1">
      <alignment horizontal="center" vertical="center"/>
    </xf>
    <xf numFmtId="166" fontId="44" fillId="3" borderId="24" xfId="0" applyNumberFormat="1" applyFont="1" applyFill="1" applyBorder="1" applyAlignment="1">
      <alignment horizontal="center" vertical="center"/>
    </xf>
    <xf numFmtId="166" fontId="44" fillId="3" borderId="26" xfId="0" applyNumberFormat="1" applyFont="1" applyFill="1" applyBorder="1" applyAlignment="1">
      <alignment horizontal="center" vertical="center"/>
    </xf>
    <xf numFmtId="0" fontId="44" fillId="3" borderId="15" xfId="0" applyFont="1" applyFill="1" applyBorder="1" applyAlignment="1">
      <alignment horizontal="center" vertical="center" wrapText="1"/>
    </xf>
    <xf numFmtId="0" fontId="44" fillId="3" borderId="42" xfId="0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/>
    </xf>
    <xf numFmtId="0" fontId="44" fillId="3" borderId="43" xfId="0" applyFont="1" applyFill="1" applyBorder="1" applyAlignment="1">
      <alignment horizontal="center" vertical="center"/>
    </xf>
    <xf numFmtId="0" fontId="44" fillId="3" borderId="41" xfId="0" applyFont="1" applyFill="1" applyBorder="1" applyAlignment="1">
      <alignment horizontal="center" vertical="center"/>
    </xf>
    <xf numFmtId="0" fontId="44" fillId="3" borderId="40" xfId="0" applyFont="1" applyFill="1" applyBorder="1" applyAlignment="1">
      <alignment horizontal="center" vertical="center"/>
    </xf>
    <xf numFmtId="0" fontId="44" fillId="3" borderId="14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center" vertical="center"/>
    </xf>
    <xf numFmtId="0" fontId="44" fillId="3" borderId="13" xfId="0" applyFont="1" applyFill="1" applyBorder="1" applyAlignment="1">
      <alignment horizontal="center" vertical="center"/>
    </xf>
    <xf numFmtId="0" fontId="44" fillId="3" borderId="39" xfId="0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center" vertical="center"/>
    </xf>
    <xf numFmtId="0" fontId="44" fillId="3" borderId="38" xfId="0" applyFont="1" applyFill="1" applyBorder="1" applyAlignment="1">
      <alignment horizontal="center" vertical="center"/>
    </xf>
    <xf numFmtId="166" fontId="17" fillId="3" borderId="14" xfId="0" applyNumberFormat="1" applyFont="1" applyFill="1" applyBorder="1" applyAlignment="1">
      <alignment horizontal="center" vertical="center"/>
    </xf>
    <xf numFmtId="166" fontId="17" fillId="3" borderId="26" xfId="0" applyNumberFormat="1" applyFont="1" applyFill="1" applyBorder="1" applyAlignment="1">
      <alignment horizontal="center" vertical="center"/>
    </xf>
    <xf numFmtId="166" fontId="17" fillId="3" borderId="13" xfId="0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13" workbookViewId="0">
      <selection activeCell="H39" sqref="H39"/>
    </sheetView>
  </sheetViews>
  <sheetFormatPr defaultRowHeight="15" x14ac:dyDescent="0.25"/>
  <cols>
    <col min="1" max="1" width="5" customWidth="1"/>
    <col min="2" max="2" width="15.85546875" bestFit="1" customWidth="1"/>
    <col min="3" max="3" width="11" bestFit="1" customWidth="1"/>
    <col min="4" max="4" width="44.5703125" bestFit="1" customWidth="1"/>
    <col min="5" max="5" width="13.140625" bestFit="1" customWidth="1"/>
    <col min="6" max="6" width="18.28515625" bestFit="1" customWidth="1"/>
    <col min="7" max="7" width="22.85546875" bestFit="1" customWidth="1"/>
    <col min="8" max="9" width="14.28515625" bestFit="1" customWidth="1"/>
    <col min="10" max="10" width="19" bestFit="1" customWidth="1"/>
    <col min="11" max="11" width="17.42578125" bestFit="1" customWidth="1"/>
    <col min="12" max="12" width="17.7109375" bestFit="1" customWidth="1"/>
    <col min="13" max="13" width="12.5703125" bestFit="1" customWidth="1"/>
    <col min="14" max="14" width="9.5703125" bestFit="1" customWidth="1"/>
  </cols>
  <sheetData>
    <row r="1" spans="1:14" ht="21" thickBot="1" x14ac:dyDescent="0.3">
      <c r="A1" s="24"/>
      <c r="B1" s="211">
        <v>43830</v>
      </c>
      <c r="C1" s="212" t="s">
        <v>314</v>
      </c>
      <c r="D1" s="212"/>
    </row>
    <row r="2" spans="1:14" x14ac:dyDescent="0.25">
      <c r="B2" s="9" t="s">
        <v>18</v>
      </c>
      <c r="C2" s="7" t="s">
        <v>17</v>
      </c>
      <c r="D2" s="11" t="s">
        <v>63</v>
      </c>
      <c r="E2" s="18"/>
      <c r="F2" s="7"/>
      <c r="K2" s="7"/>
      <c r="L2" s="7"/>
      <c r="M2" s="7"/>
      <c r="N2" s="7"/>
    </row>
    <row r="3" spans="1:14" x14ac:dyDescent="0.25">
      <c r="B3" s="6">
        <f>$B$1</f>
        <v>43830</v>
      </c>
      <c r="C3" t="s">
        <v>61</v>
      </c>
      <c r="D3" t="s">
        <v>62</v>
      </c>
      <c r="E3" s="4">
        <f>'OF1'!C23</f>
        <v>168325624.65488318</v>
      </c>
      <c r="F3" s="7"/>
    </row>
    <row r="4" spans="1:14" x14ac:dyDescent="0.25">
      <c r="B4" s="6">
        <f>B1</f>
        <v>43830</v>
      </c>
      <c r="C4" t="s">
        <v>61</v>
      </c>
      <c r="D4" t="s">
        <v>60</v>
      </c>
      <c r="E4" s="4">
        <f>'OF1'!C14</f>
        <v>360304227.52561378</v>
      </c>
      <c r="F4" s="7"/>
    </row>
    <row r="5" spans="1:14" x14ac:dyDescent="0.25">
      <c r="B5" s="6"/>
      <c r="D5" t="s">
        <v>59</v>
      </c>
      <c r="E5" s="22">
        <f>E4/E3</f>
        <v>2.1405191768296894</v>
      </c>
    </row>
    <row r="6" spans="1:14" x14ac:dyDescent="0.25">
      <c r="B6" s="6"/>
      <c r="E6" s="21"/>
    </row>
    <row r="7" spans="1:14" x14ac:dyDescent="0.25">
      <c r="B7" s="9" t="s">
        <v>18</v>
      </c>
      <c r="C7" s="7" t="s">
        <v>17</v>
      </c>
      <c r="D7" s="11" t="s">
        <v>58</v>
      </c>
      <c r="E7" s="18"/>
      <c r="G7" s="11" t="s">
        <v>57</v>
      </c>
      <c r="H7" s="10" t="s">
        <v>56</v>
      </c>
      <c r="I7" s="10" t="s">
        <v>55</v>
      </c>
      <c r="J7" s="10" t="s">
        <v>0</v>
      </c>
      <c r="L7" s="7"/>
      <c r="M7" s="7"/>
      <c r="N7" s="7"/>
    </row>
    <row r="8" spans="1:14" x14ac:dyDescent="0.25">
      <c r="B8" s="6">
        <f t="shared" ref="B8:B13" si="0">$B$1</f>
        <v>43830</v>
      </c>
      <c r="C8" t="s">
        <v>28</v>
      </c>
      <c r="D8" s="16" t="s">
        <v>54</v>
      </c>
      <c r="E8" s="15">
        <f>'OF4'!E7</f>
        <v>530321530.81753844</v>
      </c>
      <c r="G8" t="s">
        <v>53</v>
      </c>
      <c r="H8" s="4">
        <f>'A1'!C14</f>
        <v>62403507.499880321</v>
      </c>
      <c r="I8" s="4">
        <f>'A1'!D14</f>
        <v>173303937.72872084</v>
      </c>
      <c r="J8" s="4">
        <f>'A1'!E14</f>
        <v>235707445.22860116</v>
      </c>
      <c r="L8" s="7"/>
      <c r="M8" s="7"/>
      <c r="N8" s="7"/>
    </row>
    <row r="9" spans="1:14" x14ac:dyDescent="0.25">
      <c r="B9" s="6">
        <f t="shared" si="0"/>
        <v>43830</v>
      </c>
      <c r="C9" t="s">
        <v>28</v>
      </c>
      <c r="D9" s="16" t="s">
        <v>52</v>
      </c>
      <c r="E9" s="13">
        <f>'OF4'!E8</f>
        <v>21711589.072722457</v>
      </c>
      <c r="G9" t="s">
        <v>51</v>
      </c>
      <c r="H9" s="4">
        <f>'A1'!C24</f>
        <v>69567243.686928988</v>
      </c>
      <c r="I9" s="4">
        <f>'A1'!D24</f>
        <v>165627522.15679112</v>
      </c>
      <c r="J9" s="4">
        <f>'A1'!E24</f>
        <v>235194765.84372011</v>
      </c>
      <c r="L9" s="7"/>
      <c r="M9" s="7"/>
      <c r="N9" s="7"/>
    </row>
    <row r="10" spans="1:14" x14ac:dyDescent="0.25">
      <c r="B10" s="6">
        <f t="shared" si="0"/>
        <v>43830</v>
      </c>
      <c r="C10" t="s">
        <v>28</v>
      </c>
      <c r="D10" s="16" t="s">
        <v>50</v>
      </c>
      <c r="E10" s="17">
        <f>E8-E9</f>
        <v>508609941.74481601</v>
      </c>
      <c r="G10" s="14" t="s">
        <v>49</v>
      </c>
      <c r="H10" s="4">
        <f>'A1'!C35</f>
        <v>238845855.48339817</v>
      </c>
      <c r="I10" s="4">
        <f>'A1'!D35</f>
        <v>233772839.81724876</v>
      </c>
      <c r="J10" s="4">
        <f>'A1'!E35</f>
        <v>472618695.3006469</v>
      </c>
      <c r="L10" s="7"/>
      <c r="M10" s="7"/>
      <c r="N10" s="7"/>
    </row>
    <row r="11" spans="1:14" x14ac:dyDescent="0.25">
      <c r="B11" s="6">
        <f t="shared" si="0"/>
        <v>43830</v>
      </c>
      <c r="C11" t="s">
        <v>28</v>
      </c>
      <c r="D11" s="16" t="s">
        <v>48</v>
      </c>
      <c r="E11" s="15">
        <f>'OF4'!E10</f>
        <v>268283152.46757573</v>
      </c>
      <c r="G11" s="14" t="s">
        <v>47</v>
      </c>
      <c r="H11" s="4">
        <f>'A1'!C42</f>
        <v>940155621.92747176</v>
      </c>
      <c r="I11" s="4">
        <f>'A1'!D42</f>
        <v>536698473.73284972</v>
      </c>
      <c r="J11" s="4">
        <f>'A1'!E42</f>
        <v>1476854095.6603215</v>
      </c>
      <c r="K11" s="7"/>
      <c r="L11" s="7"/>
      <c r="M11" s="7"/>
      <c r="N11" s="7"/>
    </row>
    <row r="12" spans="1:14" x14ac:dyDescent="0.25">
      <c r="B12" s="6">
        <f t="shared" si="0"/>
        <v>43830</v>
      </c>
      <c r="C12" t="s">
        <v>28</v>
      </c>
      <c r="D12" s="16" t="s">
        <v>46</v>
      </c>
      <c r="E12" s="13">
        <f>'OF4'!E15</f>
        <v>12985735.141655063</v>
      </c>
      <c r="G12" s="14" t="s">
        <v>45</v>
      </c>
      <c r="H12" s="4">
        <f>'A1'!C53</f>
        <v>5100756.3275295198</v>
      </c>
      <c r="I12" s="4">
        <f>'A1'!D53</f>
        <v>47799659.836629011</v>
      </c>
      <c r="J12" s="4">
        <f>'A1'!E53</f>
        <v>52900416.164158531</v>
      </c>
      <c r="K12" s="7"/>
      <c r="L12" s="7"/>
      <c r="M12" s="7"/>
      <c r="N12" s="7"/>
    </row>
    <row r="13" spans="1:14" x14ac:dyDescent="0.25">
      <c r="B13" s="6">
        <f t="shared" si="0"/>
        <v>43830</v>
      </c>
      <c r="C13" t="s">
        <v>28</v>
      </c>
      <c r="D13" s="20" t="s">
        <v>44</v>
      </c>
      <c r="E13" s="12">
        <f>SUM(E10:E12)</f>
        <v>789878829.35404682</v>
      </c>
      <c r="G13" s="14" t="s">
        <v>43</v>
      </c>
      <c r="H13" s="4">
        <f>'A1'!C64</f>
        <v>3923012.0854167584</v>
      </c>
      <c r="I13" s="4">
        <f>'A1'!D64</f>
        <v>11822975.391856009</v>
      </c>
      <c r="J13" s="4">
        <f>'A1'!E64</f>
        <v>15745987.477272768</v>
      </c>
      <c r="K13" s="7"/>
      <c r="L13" s="7"/>
      <c r="M13" s="7"/>
      <c r="N13" s="7"/>
    </row>
    <row r="14" spans="1:14" x14ac:dyDescent="0.25">
      <c r="B14" s="6"/>
      <c r="D14" s="20"/>
      <c r="E14" s="20"/>
      <c r="G14" t="s">
        <v>42</v>
      </c>
      <c r="H14" s="4">
        <f>'A1'!C75</f>
        <v>86709841.846700862</v>
      </c>
      <c r="I14" s="4">
        <f>'A1'!D75</f>
        <v>116013903.05666851</v>
      </c>
      <c r="J14" s="4">
        <f>'A1'!E75</f>
        <v>202723744.90336937</v>
      </c>
      <c r="K14" s="7"/>
      <c r="L14" s="7"/>
      <c r="M14" s="7"/>
      <c r="N14" s="7"/>
    </row>
    <row r="15" spans="1:14" x14ac:dyDescent="0.25">
      <c r="B15" s="9" t="s">
        <v>18</v>
      </c>
      <c r="C15" s="7" t="s">
        <v>17</v>
      </c>
      <c r="D15" s="19" t="s">
        <v>41</v>
      </c>
      <c r="E15" s="18"/>
      <c r="G15" s="14" t="s">
        <v>40</v>
      </c>
      <c r="H15" s="4">
        <f>'A1'!C83</f>
        <v>39222780.333391577</v>
      </c>
      <c r="I15" s="4">
        <f>'A1'!D83</f>
        <v>40029431.597243764</v>
      </c>
      <c r="J15" s="4">
        <f>'A1'!E83</f>
        <v>79252211.930635333</v>
      </c>
      <c r="K15" s="7"/>
      <c r="L15" s="7"/>
      <c r="M15" s="7"/>
      <c r="N15" s="7"/>
    </row>
    <row r="16" spans="1:14" x14ac:dyDescent="0.25">
      <c r="B16" s="6">
        <f t="shared" ref="B16:B25" si="1">$B$1</f>
        <v>43830</v>
      </c>
      <c r="C16" t="s">
        <v>28</v>
      </c>
      <c r="D16" t="s">
        <v>39</v>
      </c>
      <c r="E16" s="4">
        <f>'OF4'!E22</f>
        <v>491060335.27448863</v>
      </c>
      <c r="G16" s="14" t="s">
        <v>38</v>
      </c>
      <c r="H16" s="13">
        <f>'A1'!C90</f>
        <v>2371290.8554737051</v>
      </c>
      <c r="I16" s="13">
        <f>'A1'!D90</f>
        <v>37056728.104286343</v>
      </c>
      <c r="J16" s="13">
        <f>'A1'!E90</f>
        <v>39428018.959760047</v>
      </c>
      <c r="K16" s="7"/>
      <c r="L16" s="7"/>
      <c r="M16" s="7"/>
      <c r="N16" s="7"/>
    </row>
    <row r="17" spans="2:14" x14ac:dyDescent="0.25">
      <c r="B17" s="6">
        <f t="shared" si="1"/>
        <v>43830</v>
      </c>
      <c r="C17" t="s">
        <v>28</v>
      </c>
      <c r="D17" s="16" t="s">
        <v>37</v>
      </c>
      <c r="E17" s="13">
        <f>'OF4'!E23</f>
        <v>26457069.476482131</v>
      </c>
      <c r="G17" s="7" t="s">
        <v>36</v>
      </c>
      <c r="H17" s="17">
        <f>SUM(H8:H16)</f>
        <v>1448299910.0461917</v>
      </c>
      <c r="I17" s="17">
        <f>SUM(I8:I16)</f>
        <v>1362125471.4222939</v>
      </c>
      <c r="J17" s="17">
        <f>SUM(J8:J16)</f>
        <v>2810425381.4684863</v>
      </c>
      <c r="K17" s="7"/>
      <c r="L17" s="7"/>
      <c r="M17" s="7"/>
      <c r="N17" s="7"/>
    </row>
    <row r="18" spans="2:14" x14ac:dyDescent="0.25">
      <c r="B18" s="6">
        <f t="shared" si="1"/>
        <v>43830</v>
      </c>
      <c r="C18" t="s">
        <v>28</v>
      </c>
      <c r="D18" s="16" t="s">
        <v>35</v>
      </c>
      <c r="E18" s="15">
        <f>E16-E17</f>
        <v>464603265.79800647</v>
      </c>
      <c r="G18" s="7"/>
      <c r="H18" s="7"/>
      <c r="I18" s="7"/>
      <c r="J18" s="7"/>
      <c r="K18" s="7"/>
      <c r="L18" s="7"/>
      <c r="M18" s="7"/>
      <c r="N18" s="7"/>
    </row>
    <row r="19" spans="2:14" x14ac:dyDescent="0.25">
      <c r="B19" s="6">
        <f t="shared" si="1"/>
        <v>43830</v>
      </c>
      <c r="C19" t="s">
        <v>28</v>
      </c>
      <c r="D19" s="14" t="s">
        <v>34</v>
      </c>
      <c r="E19" s="4">
        <f>'OF4'!E25</f>
        <v>199935808.36472112</v>
      </c>
      <c r="G19" s="7"/>
      <c r="H19" s="7"/>
      <c r="I19" s="7"/>
      <c r="J19" s="7"/>
      <c r="K19" s="7"/>
      <c r="L19" s="7"/>
      <c r="M19" s="7"/>
      <c r="N19" s="7"/>
    </row>
    <row r="20" spans="2:14" x14ac:dyDescent="0.25">
      <c r="B20" s="6">
        <f t="shared" si="1"/>
        <v>43830</v>
      </c>
      <c r="C20" t="s">
        <v>28</v>
      </c>
      <c r="D20" s="14" t="s">
        <v>33</v>
      </c>
      <c r="E20" s="4">
        <f>'OF4'!E26</f>
        <v>213900.0840970765</v>
      </c>
      <c r="G20" s="7"/>
      <c r="H20" s="7"/>
      <c r="I20" s="7"/>
      <c r="J20" s="7"/>
      <c r="K20" s="7"/>
      <c r="L20" s="7"/>
      <c r="M20" s="7"/>
      <c r="N20" s="7"/>
    </row>
    <row r="21" spans="2:14" x14ac:dyDescent="0.25">
      <c r="B21" s="6">
        <f t="shared" si="1"/>
        <v>43830</v>
      </c>
      <c r="C21" t="s">
        <v>28</v>
      </c>
      <c r="D21" s="14" t="s">
        <v>32</v>
      </c>
      <c r="E21" s="4">
        <f>'OF4'!E27</f>
        <v>20854086.773849227</v>
      </c>
      <c r="G21" s="7"/>
      <c r="H21" s="7"/>
      <c r="I21" s="7"/>
      <c r="J21" s="7"/>
      <c r="K21" s="7"/>
      <c r="L21" s="7"/>
      <c r="M21" s="7"/>
      <c r="N21" s="7"/>
    </row>
    <row r="22" spans="2:14" x14ac:dyDescent="0.25">
      <c r="B22" s="6">
        <f t="shared" si="1"/>
        <v>43830</v>
      </c>
      <c r="C22" t="s">
        <v>28</v>
      </c>
      <c r="D22" s="14" t="s">
        <v>31</v>
      </c>
      <c r="E22" s="4">
        <f>'OF4'!E28</f>
        <v>52331319.153926805</v>
      </c>
      <c r="G22" s="7"/>
      <c r="H22" s="7"/>
      <c r="I22" s="7"/>
      <c r="J22" s="7"/>
      <c r="K22" s="7"/>
      <c r="L22" s="7"/>
      <c r="M22" s="7"/>
      <c r="N22" s="7"/>
    </row>
    <row r="23" spans="2:14" x14ac:dyDescent="0.25">
      <c r="B23" s="6">
        <f t="shared" si="1"/>
        <v>43830</v>
      </c>
      <c r="C23" t="s">
        <v>28</v>
      </c>
      <c r="D23" s="14" t="s">
        <v>30</v>
      </c>
      <c r="E23" s="4">
        <f>'OF4'!E29</f>
        <v>4695846.6085773073</v>
      </c>
      <c r="G23" s="7"/>
      <c r="H23" s="7"/>
      <c r="I23" s="7"/>
      <c r="J23" s="7"/>
      <c r="K23" s="7"/>
      <c r="L23" s="7"/>
      <c r="M23" s="7"/>
      <c r="N23" s="7"/>
    </row>
    <row r="24" spans="2:14" x14ac:dyDescent="0.25">
      <c r="B24" s="6">
        <f t="shared" si="1"/>
        <v>43830</v>
      </c>
      <c r="C24" t="s">
        <v>28</v>
      </c>
      <c r="D24" s="14" t="s">
        <v>29</v>
      </c>
      <c r="E24" s="13">
        <f>'OF4'!E30</f>
        <v>5859591.785397131</v>
      </c>
      <c r="G24" s="7"/>
      <c r="H24" s="7"/>
      <c r="I24" s="7"/>
      <c r="J24" s="7"/>
      <c r="K24" s="7"/>
      <c r="L24" s="7"/>
      <c r="M24" s="7"/>
      <c r="N24" s="7"/>
    </row>
    <row r="25" spans="2:14" x14ac:dyDescent="0.25">
      <c r="B25" s="6">
        <f t="shared" si="1"/>
        <v>43830</v>
      </c>
      <c r="C25" t="s">
        <v>28</v>
      </c>
      <c r="D25" s="7" t="s">
        <v>27</v>
      </c>
      <c r="E25" s="12">
        <f>SUM(E18:E24)</f>
        <v>748493818.56857514</v>
      </c>
    </row>
    <row r="26" spans="2:14" x14ac:dyDescent="0.25">
      <c r="B26" s="6"/>
    </row>
    <row r="27" spans="2:14" x14ac:dyDescent="0.25">
      <c r="B27" s="9" t="s">
        <v>18</v>
      </c>
      <c r="C27" s="7" t="s">
        <v>17</v>
      </c>
      <c r="D27" s="11" t="s">
        <v>26</v>
      </c>
      <c r="E27" s="7"/>
      <c r="F27" s="10" t="s">
        <v>23</v>
      </c>
      <c r="G27" s="10" t="s">
        <v>14</v>
      </c>
      <c r="H27" s="10" t="s">
        <v>13</v>
      </c>
      <c r="I27" s="10" t="s">
        <v>12</v>
      </c>
      <c r="J27" s="10" t="s">
        <v>22</v>
      </c>
      <c r="K27" s="10" t="s">
        <v>9</v>
      </c>
      <c r="L27" s="10" t="s">
        <v>21</v>
      </c>
      <c r="M27" s="7" t="s">
        <v>7</v>
      </c>
      <c r="N27" s="7"/>
    </row>
    <row r="28" spans="2:14" x14ac:dyDescent="0.25">
      <c r="B28" s="6">
        <f>$B$1</f>
        <v>43830</v>
      </c>
      <c r="C28" t="s">
        <v>20</v>
      </c>
      <c r="D28" t="s">
        <v>2</v>
      </c>
      <c r="E28" t="s">
        <v>6</v>
      </c>
      <c r="F28" s="4">
        <f>SUM('M1.1'!B14:B22)</f>
        <v>31093158.528897911</v>
      </c>
      <c r="G28" s="4">
        <f>SUM('M1.1'!C14:C22)</f>
        <v>9610219</v>
      </c>
      <c r="H28" s="4">
        <f>SUM('M1.1'!D14:F22)</f>
        <v>328372.28287622402</v>
      </c>
      <c r="I28" s="4">
        <f>SUM('M1.1'!G14:G22)</f>
        <v>16443</v>
      </c>
      <c r="J28" s="4">
        <f>SUM('M1.1'!H14:I22)</f>
        <v>8763422.6855084077</v>
      </c>
      <c r="K28" s="5">
        <f>SUM('M1.1'!J14:J22)-SUM('M1.1'!K14:K22)+SUM('M1.1'!N14:N22)+SUM('M1.1'!O14:O22)</f>
        <v>3060288.1372549776</v>
      </c>
      <c r="L28" s="4">
        <f>SUM('M1.1'!P14:P22)</f>
        <v>34655427.697768256</v>
      </c>
      <c r="M28" s="3">
        <f>IFERROR((ROUND(L28,0)-ROUND(F28,0))/ROUND(F28,0),0)</f>
        <v>0.11456761276652527</v>
      </c>
    </row>
    <row r="29" spans="2:14" x14ac:dyDescent="0.25">
      <c r="B29" s="6">
        <f>$B$1</f>
        <v>43830</v>
      </c>
      <c r="C29" t="s">
        <v>20</v>
      </c>
      <c r="D29" t="s">
        <v>2</v>
      </c>
      <c r="E29" t="s">
        <v>25</v>
      </c>
      <c r="F29" s="4">
        <f>'M1.1'!B23</f>
        <v>1858.0000000011</v>
      </c>
      <c r="G29" s="4">
        <f>'M1.1'!C23</f>
        <v>69</v>
      </c>
      <c r="H29" s="4">
        <f>'M1.1'!D23</f>
        <v>6</v>
      </c>
      <c r="I29" s="4">
        <f>'M1.1'!G23</f>
        <v>0</v>
      </c>
      <c r="J29" s="4">
        <f>SUM('M1.1'!H23:I23)</f>
        <v>27</v>
      </c>
      <c r="K29" s="5">
        <f>'M1.1'!KI23-'M1.1'!K23+'M1.1'!N23+'M1.1'!P23</f>
        <v>3.0000000021000233</v>
      </c>
      <c r="L29" s="4">
        <f>'M1.1'!P23</f>
        <v>10.000000002100023</v>
      </c>
      <c r="M29" s="3">
        <f>IFERROR((ROUND(L29,0)-ROUND(F29,0))/ROUND(F29,0),0)</f>
        <v>-0.99461786867599566</v>
      </c>
    </row>
    <row r="30" spans="2:14" x14ac:dyDescent="0.25">
      <c r="B30" s="6">
        <f>$B$1</f>
        <v>43830</v>
      </c>
      <c r="C30" t="s">
        <v>20</v>
      </c>
      <c r="D30" t="s">
        <v>2</v>
      </c>
      <c r="E30" t="s">
        <v>4</v>
      </c>
      <c r="F30" s="4">
        <f>SUM('M1.1'!B24:B27)</f>
        <v>6714232.853699021</v>
      </c>
      <c r="G30" s="4">
        <f>SUM('M1.1'!C24:C27)</f>
        <v>773077.7900079994</v>
      </c>
      <c r="H30" s="4">
        <f>SUM('M1.1'!D24:F27)</f>
        <v>27064.631212476113</v>
      </c>
      <c r="I30" s="4">
        <f>SUM('M1.1'!G24:G27)</f>
        <v>172819.00000065341</v>
      </c>
      <c r="J30" s="4">
        <f>SUM('M1.1'!H24:I27)</f>
        <v>713361.17645728693</v>
      </c>
      <c r="K30" s="5">
        <f>SUM('M1.1'!J24:J27)-SUM('M1.1'!K24:K27)+SUM('M1.1'!N24:N27)+SUM('M1.1'!O24:O27)</f>
        <v>-68964.395333440421</v>
      </c>
      <c r="L30" s="4">
        <f>SUM('M1.1'!P24:P27)</f>
        <v>6505101.4407031648</v>
      </c>
      <c r="M30" s="3">
        <f>IFERROR((ROUND(L30,0)-ROUND(F30,0))/ROUND(F30,0),0)</f>
        <v>-3.1147563690446845E-2</v>
      </c>
    </row>
    <row r="31" spans="2:14" x14ac:dyDescent="0.25">
      <c r="B31" s="6">
        <f>$B$1</f>
        <v>43830</v>
      </c>
      <c r="C31" t="s">
        <v>20</v>
      </c>
      <c r="D31" t="s">
        <v>2</v>
      </c>
      <c r="E31" t="s">
        <v>1</v>
      </c>
      <c r="F31" s="4">
        <f>SUM('M1.1'!B28:B29)</f>
        <v>1607067.0000000019</v>
      </c>
      <c r="G31" s="4">
        <f>SUM('M1.1'!C28:C29)</f>
        <v>68495</v>
      </c>
      <c r="H31" s="4">
        <f>SUM('M1.1'!D28:F29)</f>
        <v>16325</v>
      </c>
      <c r="I31" s="4">
        <f>SUM('M1.1'!G28:G29)</f>
        <v>77814</v>
      </c>
      <c r="J31" s="4">
        <f>SUM('M1.1'!H28:I29)</f>
        <v>143328</v>
      </c>
      <c r="K31" s="5">
        <f>SUM('M1.1'!J28:J29)-SUM('M1.1'!K28:K29)+SUM('M1.1'!N28:N29)+SUM('M1.1'!O28:O29)</f>
        <v>-62017.999999998006</v>
      </c>
      <c r="L31" s="4">
        <f>SUM('M1.1'!P28:P29)</f>
        <v>1376077.000000004</v>
      </c>
      <c r="M31" s="3">
        <f>IFERROR((ROUND(L31,0)-ROUND(F31,0))/ROUND(F31,0),0)</f>
        <v>-0.14373389535097167</v>
      </c>
    </row>
    <row r="32" spans="2:14" ht="15.75" thickBot="1" x14ac:dyDescent="0.3">
      <c r="B32" s="6"/>
      <c r="E32" t="s">
        <v>0</v>
      </c>
      <c r="F32" s="2">
        <f t="shared" ref="F32:L32" si="2">SUM(F28:F31)</f>
        <v>39416316.382596932</v>
      </c>
      <c r="G32" s="2">
        <f t="shared" si="2"/>
        <v>10451860.790007999</v>
      </c>
      <c r="H32" s="2">
        <f t="shared" si="2"/>
        <v>371767.91408870014</v>
      </c>
      <c r="I32" s="2">
        <f t="shared" si="2"/>
        <v>267076.00000065344</v>
      </c>
      <c r="J32" s="2">
        <f t="shared" si="2"/>
        <v>9620138.8619656954</v>
      </c>
      <c r="K32" s="2">
        <f t="shared" si="2"/>
        <v>2929308.7419215413</v>
      </c>
      <c r="L32" s="2">
        <f t="shared" si="2"/>
        <v>42536616.138471432</v>
      </c>
      <c r="M32" s="1">
        <f>IFERROR((ROUND(L32,0)-ROUND(F32,0))/ROUND(F32,0),0)</f>
        <v>7.9162649294774276E-2</v>
      </c>
    </row>
    <row r="33" spans="2:14" x14ac:dyDescent="0.25">
      <c r="B33" s="6"/>
    </row>
    <row r="34" spans="2:14" x14ac:dyDescent="0.25">
      <c r="B34" s="9" t="s">
        <v>18</v>
      </c>
      <c r="C34" s="7" t="s">
        <v>17</v>
      </c>
      <c r="D34" s="11" t="s">
        <v>24</v>
      </c>
      <c r="F34" s="10" t="s">
        <v>23</v>
      </c>
      <c r="G34" s="10" t="s">
        <v>14</v>
      </c>
      <c r="H34" s="10" t="s">
        <v>13</v>
      </c>
      <c r="I34" s="10" t="s">
        <v>12</v>
      </c>
      <c r="J34" s="10" t="s">
        <v>22</v>
      </c>
      <c r="K34" s="10" t="s">
        <v>9</v>
      </c>
      <c r="L34" s="10" t="s">
        <v>21</v>
      </c>
      <c r="M34" s="7" t="s">
        <v>7</v>
      </c>
    </row>
    <row r="35" spans="2:14" x14ac:dyDescent="0.25">
      <c r="B35" s="6">
        <f>$B$1</f>
        <v>43830</v>
      </c>
      <c r="C35" t="s">
        <v>20</v>
      </c>
      <c r="D35" t="s">
        <v>19</v>
      </c>
      <c r="E35" t="s">
        <v>6</v>
      </c>
      <c r="F35" s="4">
        <f>SUM('M1.1'!Q14:Q22)</f>
        <v>77687.000000002008</v>
      </c>
      <c r="G35" s="4">
        <f>SUM('M1.1'!R14:R22)</f>
        <v>46705</v>
      </c>
      <c r="H35" s="4">
        <f>SUM('M1.1'!S14:VF22)</f>
        <v>160874.00000000201</v>
      </c>
      <c r="I35" s="4">
        <f>SUM('M1.1'!V14:V22)</f>
        <v>2907</v>
      </c>
      <c r="J35" s="4">
        <f>SUM('M1.1'!W14:X22)</f>
        <v>-34413</v>
      </c>
      <c r="K35" s="4">
        <f>SUM('M1.1'!Y14:Y22)-SUM('M1.1'!Z14:Z22)+SUM('M1.1'!AA14:AA22)+SUM('M1.1'!AB14:AB22)</f>
        <v>17512</v>
      </c>
      <c r="L35" s="4">
        <f>SUM('M1.1'!AC14:AC22)</f>
        <v>172260.00000000201</v>
      </c>
      <c r="M35" s="3">
        <f>IFERROR((ROUND(L35,0)-ROUND(F35,0))/ROUND(F35,0),0)</f>
        <v>1.217359403761247</v>
      </c>
    </row>
    <row r="36" spans="2:14" x14ac:dyDescent="0.25">
      <c r="B36" s="6">
        <f>$B$1</f>
        <v>43830</v>
      </c>
      <c r="C36" t="s">
        <v>20</v>
      </c>
      <c r="D36" t="s">
        <v>19</v>
      </c>
      <c r="E36" t="s">
        <v>5</v>
      </c>
      <c r="F36" s="4">
        <f>'M1.1'!Q23</f>
        <v>601801.00000000093</v>
      </c>
      <c r="G36" s="4">
        <f>'M1.1'!R23</f>
        <v>15491</v>
      </c>
      <c r="H36" s="4">
        <f>SUM('M1.1'!S23:U23)</f>
        <v>23348</v>
      </c>
      <c r="I36" s="4">
        <f>'M1.1'!V23</f>
        <v>507</v>
      </c>
      <c r="J36" s="4">
        <f>SUM('M1.1'!W23:X23)</f>
        <v>1635</v>
      </c>
      <c r="K36" s="4">
        <f>'M1.1'!Y23-'M1.1'!Z23+'M1.1'!AA23+'M1.1'!AB23</f>
        <v>-959</v>
      </c>
      <c r="L36" s="4">
        <f>'M1.1'!AC23</f>
        <v>590843.00000000093</v>
      </c>
      <c r="M36" s="3">
        <f>IFERROR((ROUND(L36,0)-ROUND(F36,0))/ROUND(F36,0),0)</f>
        <v>-1.8208676954674385E-2</v>
      </c>
    </row>
    <row r="37" spans="2:14" x14ac:dyDescent="0.25">
      <c r="B37" s="6">
        <f>$B$1</f>
        <v>43830</v>
      </c>
      <c r="C37" t="s">
        <v>20</v>
      </c>
      <c r="D37" t="s">
        <v>19</v>
      </c>
      <c r="E37" t="s">
        <v>4</v>
      </c>
      <c r="F37" s="4">
        <f>SUM('M1.1'!Q24:Q27)</f>
        <v>2031376.603794707</v>
      </c>
      <c r="G37" s="4">
        <f>SUM('M1.1'!R24:R27)</f>
        <v>157517.0559704336</v>
      </c>
      <c r="H37" s="4">
        <f>SUM('M1.1'!S24:U27)</f>
        <v>18324.507136524011</v>
      </c>
      <c r="I37" s="4">
        <f>SUM('M1.1'!V24:V27)</f>
        <v>40175.502971218324</v>
      </c>
      <c r="J37" s="4">
        <f>SUM('M1.1'!W24:X27)</f>
        <v>107223.53388423866</v>
      </c>
      <c r="K37" s="4">
        <f>SUM('M1.1'!Y24:Y27)-SUM('M1.1'!Z24:Z27)+SUM('M1.1'!AA24:AA27)+SUM('M1.1'!AB24:AB27)</f>
        <v>-27972.44675405469</v>
      </c>
      <c r="L37" s="4">
        <f>SUM('M1.1'!AC24:AC27)</f>
        <v>1995197.6690191049</v>
      </c>
      <c r="M37" s="3">
        <f>IFERROR((ROUND(L37,0)-ROUND(F37,0))/ROUND(F37,0),0)</f>
        <v>-1.7810086458594342E-2</v>
      </c>
    </row>
    <row r="38" spans="2:14" x14ac:dyDescent="0.25">
      <c r="B38" s="6">
        <f>$B$1</f>
        <v>43830</v>
      </c>
      <c r="C38" t="s">
        <v>20</v>
      </c>
      <c r="D38" t="s">
        <v>19</v>
      </c>
      <c r="E38" t="s">
        <v>1</v>
      </c>
      <c r="F38" s="4">
        <f>SUM('M1.1'!Q28:Q29)</f>
        <v>174703.39620318502</v>
      </c>
      <c r="G38" s="4">
        <f>SUM('M1.1'!R28:R29)</f>
        <v>2033.944029599817</v>
      </c>
      <c r="H38" s="4">
        <f>SUM('M1.1'!S28:U29)</f>
        <v>966</v>
      </c>
      <c r="I38" s="4">
        <f>SUM('M1.1'!V28:V29)</f>
        <v>6778.4970285932704</v>
      </c>
      <c r="J38" s="4">
        <f>SUM('M1.1'!W28:X29)</f>
        <v>2197</v>
      </c>
      <c r="K38" s="4">
        <f>SUM('M1.1'!Y28:Y29)-SUM('M1.1'!Z28:Z29)+SUM('M1.1'!AA28:AA29)+SUM('M1.1'!AB28:AB29)</f>
        <v>-65223.989500226118</v>
      </c>
      <c r="L38" s="4">
        <f>SUM('M1.1'!AC28:AC29)</f>
        <v>101571.85370396545</v>
      </c>
      <c r="M38" s="3">
        <f>IFERROR((ROUND(L38,0)-ROUND(F38,0))/ROUND(F38,0),0)</f>
        <v>-0.41860185572085196</v>
      </c>
    </row>
    <row r="39" spans="2:14" ht="15.75" thickBot="1" x14ac:dyDescent="0.3">
      <c r="B39" s="6"/>
      <c r="E39" t="s">
        <v>0</v>
      </c>
      <c r="F39" s="2">
        <f t="shared" ref="F39:L39" si="3">SUM(F35:F38)</f>
        <v>2885567.9999978947</v>
      </c>
      <c r="G39" s="2">
        <f t="shared" si="3"/>
        <v>221747.00000003341</v>
      </c>
      <c r="H39" s="2">
        <f t="shared" si="3"/>
        <v>203512.50713652602</v>
      </c>
      <c r="I39" s="2">
        <f t="shared" si="3"/>
        <v>50367.999999811596</v>
      </c>
      <c r="J39" s="2">
        <f t="shared" si="3"/>
        <v>76642.533884238655</v>
      </c>
      <c r="K39" s="2">
        <f t="shared" si="3"/>
        <v>-76643.436254280808</v>
      </c>
      <c r="L39" s="2">
        <f t="shared" si="3"/>
        <v>2859872.5227230731</v>
      </c>
      <c r="M39" s="1">
        <f>IFERROR((ROUND(L39,0)-ROUND(F39,0))/ROUND(F39,0),0)</f>
        <v>-8.9046593253044107E-3</v>
      </c>
    </row>
    <row r="40" spans="2:14" x14ac:dyDescent="0.25">
      <c r="B40" s="6"/>
    </row>
    <row r="41" spans="2:14" ht="30" x14ac:dyDescent="0.25">
      <c r="B41" s="9" t="s">
        <v>18</v>
      </c>
      <c r="C41" s="7" t="s">
        <v>17</v>
      </c>
      <c r="D41" s="7" t="s">
        <v>16</v>
      </c>
      <c r="E41" s="7"/>
      <c r="F41" s="8" t="s">
        <v>15</v>
      </c>
      <c r="G41" s="8" t="s">
        <v>14</v>
      </c>
      <c r="H41" s="8" t="s">
        <v>13</v>
      </c>
      <c r="I41" s="8" t="s">
        <v>12</v>
      </c>
      <c r="J41" s="8" t="s">
        <v>11</v>
      </c>
      <c r="K41" s="8" t="s">
        <v>10</v>
      </c>
      <c r="L41" s="8" t="s">
        <v>9</v>
      </c>
      <c r="M41" s="8" t="s">
        <v>8</v>
      </c>
      <c r="N41" s="7" t="s">
        <v>7</v>
      </c>
    </row>
    <row r="42" spans="2:14" x14ac:dyDescent="0.25">
      <c r="B42" s="6">
        <f>$B$1</f>
        <v>43830</v>
      </c>
      <c r="C42" t="s">
        <v>3</v>
      </c>
      <c r="D42" t="s">
        <v>2</v>
      </c>
      <c r="E42" t="s">
        <v>6</v>
      </c>
      <c r="F42" s="4">
        <f>SUM('M2.1'!B14:B22)</f>
        <v>79609040.525625169</v>
      </c>
      <c r="G42" s="4">
        <f>SUM('M2.1'!C14:C22)</f>
        <v>18858069.202659808</v>
      </c>
      <c r="H42" s="5">
        <f>SUM('M2.1'!D14:F22)</f>
        <v>855829.28258946841</v>
      </c>
      <c r="I42" s="4">
        <f>SUM('M2.1'!G14:G22)</f>
        <v>40629.439057642972</v>
      </c>
      <c r="J42" s="4">
        <f>-SUM('M2.1'!H14:I22) - SUM('M2.1'!M14:M22)</f>
        <v>-14821239.36338862</v>
      </c>
      <c r="K42" s="4">
        <f>SUM('M2.1'!L14:L22)</f>
        <v>5047328.4061354082</v>
      </c>
      <c r="L42" s="5">
        <f>SUM('M2.1'!J14:J22)-SUM('M2.1'!K14:K22)+SUM('M2.1'!N14:N22)+SUM('M2.1'!O14:O22)</f>
        <v>11932463.214626849</v>
      </c>
      <c r="M42" s="4">
        <f>SUM('M2.1'!P14:P22)</f>
        <v>99729203.264011472</v>
      </c>
      <c r="N42" s="3">
        <f>IFERROR((ROUND(M42,0)-ROUND(F42,0))/ROUND(F42,0),0)</f>
        <v>0.25273714828445176</v>
      </c>
    </row>
    <row r="43" spans="2:14" x14ac:dyDescent="0.25">
      <c r="B43" s="6">
        <f>$B$1</f>
        <v>43830</v>
      </c>
      <c r="C43" t="s">
        <v>3</v>
      </c>
      <c r="D43" t="s">
        <v>2</v>
      </c>
      <c r="E43" t="s">
        <v>5</v>
      </c>
      <c r="F43" s="4">
        <f>'M2.1'!B23</f>
        <v>9.9999999999999998E-13</v>
      </c>
      <c r="G43" s="4">
        <f>'M2.1'!C23</f>
        <v>107092.14165000001</v>
      </c>
      <c r="H43" s="5">
        <f>SUM('M2.1'!D23:F23)</f>
        <v>0</v>
      </c>
      <c r="I43" s="4">
        <f>'M2.1'!G23</f>
        <v>0</v>
      </c>
      <c r="J43" s="5">
        <f>-SUM('M2.1'!H23:I23) - SUM('M2.1'!M23:M23)</f>
        <v>-66689.470799999996</v>
      </c>
      <c r="K43" s="4">
        <f>'M2.1'!L23</f>
        <v>0</v>
      </c>
      <c r="L43" s="5">
        <f>'M2.1'!J23-'M2.1'!K23+'M2.1'!N23+'M2.1'!O23</f>
        <v>-40136.144849999997</v>
      </c>
      <c r="M43" s="4">
        <f>'M2.1'!P23</f>
        <v>266.52600000001257</v>
      </c>
      <c r="N43" s="3">
        <f>IFERROR((ROUND(M43,0)-ROUND(F43,0))/ROUND(F43,0),0)</f>
        <v>0</v>
      </c>
    </row>
    <row r="44" spans="2:14" x14ac:dyDescent="0.25">
      <c r="B44" s="6">
        <f>$B$1</f>
        <v>43830</v>
      </c>
      <c r="C44" t="s">
        <v>3</v>
      </c>
      <c r="D44" t="s">
        <v>2</v>
      </c>
      <c r="E44" t="s">
        <v>4</v>
      </c>
      <c r="F44" s="4">
        <f>SUM('M2.1'!B24:B27)</f>
        <v>42475042.32786271</v>
      </c>
      <c r="G44" s="4">
        <f>SUM('M2.1'!C24:C27)</f>
        <v>7316373.9811177393</v>
      </c>
      <c r="H44" s="5">
        <f>SUM('M2.1'!D24:F27)</f>
        <v>104035.06780712666</v>
      </c>
      <c r="I44" s="5">
        <f>SUM('M2.1'!G24:G27)</f>
        <v>1210197.8616154983</v>
      </c>
      <c r="J44" s="4">
        <f>-SUM('M2.1'!H24:I27) - SUM('M2.1'!M24:M27)</f>
        <v>-6485090.4527405929</v>
      </c>
      <c r="K44" s="4">
        <f>SUM('M2.1'!L24:L27)</f>
        <v>2208181.3964477121</v>
      </c>
      <c r="L44" s="5">
        <f>SUM('M2.1'!J24:J27)-SUM('M2.1'!K24:K27)+SUM('M2.1'!N24:N27)+SUM('M2.1'!O24:O27)</f>
        <v>-521839.94219980855</v>
      </c>
      <c r="M44" s="4">
        <f>SUM('M2.1'!P24:P27)</f>
        <v>43678434.381065138</v>
      </c>
      <c r="N44" s="3">
        <f>IFERROR((ROUND(M44,0)-ROUND(F44,0))/ROUND(F44,0),0)</f>
        <v>2.8331743615462465E-2</v>
      </c>
    </row>
    <row r="45" spans="2:14" x14ac:dyDescent="0.25">
      <c r="B45" s="6">
        <f>$B$1</f>
        <v>43830</v>
      </c>
      <c r="C45" t="s">
        <v>3</v>
      </c>
      <c r="D45" t="s">
        <v>2</v>
      </c>
      <c r="E45" t="s">
        <v>1</v>
      </c>
      <c r="F45" s="4">
        <f>SUM('M2.1'!B28:B29)</f>
        <v>9434774.4759265799</v>
      </c>
      <c r="G45" s="4">
        <f>SUM('M2.1'!C28:C29)</f>
        <v>378464.68830400001</v>
      </c>
      <c r="H45" s="5">
        <f>SUM('M2.1'!D28:F29)</f>
        <v>92438.254920343476</v>
      </c>
      <c r="I45" s="5">
        <f>SUM('M2.1'!G28:G29)</f>
        <v>400817.96338430571</v>
      </c>
      <c r="J45" s="4">
        <f>-SUM('M2.1'!H28:I29) - SUM('M2.1'!M28:M29)</f>
        <v>-954780.8322556176</v>
      </c>
      <c r="K45" s="4">
        <f>SUM('M2.1'!L28:L29)</f>
        <v>669547.28094797512</v>
      </c>
      <c r="L45" s="5">
        <f>SUM('M2.1'!J28:J29)-SUM('M2.1'!K28:K29)+SUM('M2.1'!N28:N29)+SUM('M2.1'!O28:O29)</f>
        <v>-642947.02724526357</v>
      </c>
      <c r="M45" s="4">
        <f>SUM('M2.1'!P28:P29)</f>
        <v>8391802.3673730269</v>
      </c>
      <c r="N45" s="3">
        <f>IFERROR((ROUND(M45,0)-ROUND(F45,0))/ROUND(F45,0),0)</f>
        <v>-0.11054552022125808</v>
      </c>
    </row>
    <row r="46" spans="2:14" ht="15.75" thickBot="1" x14ac:dyDescent="0.3">
      <c r="E46" t="s">
        <v>0</v>
      </c>
      <c r="F46" s="2">
        <f t="shared" ref="F46:M46" si="4">SUM(F42:F45)</f>
        <v>131518857.32941446</v>
      </c>
      <c r="G46" s="2">
        <f t="shared" si="4"/>
        <v>26660000.013731547</v>
      </c>
      <c r="H46" s="2">
        <f t="shared" si="4"/>
        <v>1052302.6053169386</v>
      </c>
      <c r="I46" s="2">
        <f t="shared" si="4"/>
        <v>1651645.2640574472</v>
      </c>
      <c r="J46" s="2">
        <f t="shared" si="4"/>
        <v>-22327800.119184829</v>
      </c>
      <c r="K46" s="2">
        <f t="shared" si="4"/>
        <v>7925057.0835310956</v>
      </c>
      <c r="L46" s="2">
        <f t="shared" si="4"/>
        <v>10727540.100331776</v>
      </c>
      <c r="M46" s="2">
        <f t="shared" si="4"/>
        <v>151799706.53844962</v>
      </c>
      <c r="N46" s="1">
        <f>IFERROR((ROUND(M46,0)-ROUND(F46,0))/ROUND(F46,0),0)</f>
        <v>0.15420488333471449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6" width="14.42578125" bestFit="1" customWidth="1"/>
    <col min="7" max="7" width="11.7109375" bestFit="1" customWidth="1"/>
    <col min="8" max="8" width="13.28515625" bestFit="1" customWidth="1"/>
    <col min="9" max="9" width="11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23" t="s">
        <v>309</v>
      </c>
      <c r="B1" s="209">
        <v>43830</v>
      </c>
      <c r="C1" s="118"/>
      <c r="D1" s="119"/>
      <c r="E1" s="181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x14ac:dyDescent="0.25">
      <c r="A3" s="34"/>
      <c r="B3" s="240" t="s">
        <v>308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45.75" thickBot="1" x14ac:dyDescent="0.3">
      <c r="A4" s="34"/>
      <c r="B4" s="179" t="s">
        <v>307</v>
      </c>
      <c r="C4" s="178" t="s">
        <v>306</v>
      </c>
      <c r="D4" s="178" t="s">
        <v>270</v>
      </c>
      <c r="E4" s="178" t="s">
        <v>269</v>
      </c>
      <c r="F4" s="178" t="s">
        <v>268</v>
      </c>
      <c r="G4" s="178" t="s">
        <v>12</v>
      </c>
      <c r="H4" s="178" t="s">
        <v>267</v>
      </c>
      <c r="I4" s="178" t="s">
        <v>266</v>
      </c>
      <c r="J4" s="178" t="s">
        <v>265</v>
      </c>
      <c r="K4" s="178" t="s">
        <v>264</v>
      </c>
      <c r="L4" s="178" t="s">
        <v>274</v>
      </c>
      <c r="M4" s="178" t="s">
        <v>273</v>
      </c>
      <c r="N4" s="178" t="s">
        <v>175</v>
      </c>
      <c r="O4" s="178" t="s">
        <v>263</v>
      </c>
      <c r="P4" s="177" t="s">
        <v>305</v>
      </c>
    </row>
    <row r="5" spans="1:16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.75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ht="21" thickBot="1" x14ac:dyDescent="0.3">
      <c r="A8" s="152" t="s">
        <v>235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2"/>
    </row>
    <row r="9" spans="1:16" x14ac:dyDescent="0.25">
      <c r="A9" s="34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x14ac:dyDescent="0.25">
      <c r="A10" s="202" t="s">
        <v>231</v>
      </c>
      <c r="B10" s="169">
        <f t="shared" ref="B10:O10" si="0">SUM(B14:B29)</f>
        <v>131518857.32941446</v>
      </c>
      <c r="C10" s="169">
        <f t="shared" si="0"/>
        <v>26660000.013731543</v>
      </c>
      <c r="D10" s="169">
        <f t="shared" si="0"/>
        <v>1016038.4599737037</v>
      </c>
      <c r="E10" s="169">
        <f t="shared" si="0"/>
        <v>29296.926429045074</v>
      </c>
      <c r="F10" s="169">
        <f t="shared" si="0"/>
        <v>6967.2189141897707</v>
      </c>
      <c r="G10" s="169">
        <f t="shared" si="0"/>
        <v>1651645.264057447</v>
      </c>
      <c r="H10" s="169">
        <f t="shared" si="0"/>
        <v>4670601.5585812759</v>
      </c>
      <c r="I10" s="169">
        <f t="shared" si="0"/>
        <v>14760546.378860373</v>
      </c>
      <c r="J10" s="169">
        <f t="shared" si="0"/>
        <v>-32478.359670940892</v>
      </c>
      <c r="K10" s="169">
        <f t="shared" si="0"/>
        <v>121019.33332046677</v>
      </c>
      <c r="L10" s="169">
        <f t="shared" si="0"/>
        <v>7925057.0835310947</v>
      </c>
      <c r="M10" s="169">
        <f t="shared" si="0"/>
        <v>2896652.1817431818</v>
      </c>
      <c r="N10" s="169">
        <f t="shared" si="0"/>
        <v>-145562.9968853227</v>
      </c>
      <c r="O10" s="169">
        <f t="shared" si="0"/>
        <v>11026600.790208507</v>
      </c>
      <c r="P10" s="169">
        <f>B10+C10-D10-E10-F10-G10-H10-I10+J10-K10+L10-M10++N10+O10</f>
        <v>151799706.53844967</v>
      </c>
    </row>
    <row r="11" spans="1:16" ht="15.75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21" thickBot="1" x14ac:dyDescent="0.3">
      <c r="A12" s="152" t="s">
        <v>231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5"/>
    </row>
    <row r="13" spans="1:16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149" t="s">
        <v>261</v>
      </c>
      <c r="B14" s="147">
        <v>48111043.809926055</v>
      </c>
      <c r="C14" s="147">
        <v>6736990.0176986698</v>
      </c>
      <c r="D14" s="147">
        <v>335768.37497264094</v>
      </c>
      <c r="E14" s="147">
        <v>21923.343906003927</v>
      </c>
      <c r="F14" s="147">
        <v>4503.2378700000008</v>
      </c>
      <c r="G14" s="147">
        <v>4869.3910799999903</v>
      </c>
      <c r="H14" s="147">
        <v>158257.93959496124</v>
      </c>
      <c r="I14" s="147">
        <v>5773477.9322043695</v>
      </c>
      <c r="J14" s="147">
        <v>0</v>
      </c>
      <c r="K14" s="147">
        <v>27022.167027589421</v>
      </c>
      <c r="L14" s="147">
        <v>3817356.169546877</v>
      </c>
      <c r="M14" s="147">
        <v>18400.623710000098</v>
      </c>
      <c r="N14" s="147">
        <v>150090.74968901591</v>
      </c>
      <c r="O14" s="147">
        <v>-341294.23656477965</v>
      </c>
      <c r="P14" s="169">
        <f>B14+C14-D14-E14-F14-G14-H14-I14+J14-K14+L14-M14++N14+O14</f>
        <v>52129963.49993027</v>
      </c>
    </row>
    <row r="15" spans="1:16" x14ac:dyDescent="0.25">
      <c r="A15" s="149" t="s">
        <v>260</v>
      </c>
      <c r="B15" s="147">
        <v>1697131.8382820007</v>
      </c>
      <c r="C15" s="147">
        <v>813938.41701252235</v>
      </c>
      <c r="D15" s="147">
        <v>8556.9670251185817</v>
      </c>
      <c r="E15" s="147">
        <v>7.3559999999999999</v>
      </c>
      <c r="F15" s="147">
        <v>6.7690000000000001</v>
      </c>
      <c r="G15" s="147">
        <v>0</v>
      </c>
      <c r="H15" s="147">
        <v>15.7265</v>
      </c>
      <c r="I15" s="147">
        <v>556317.04577215039</v>
      </c>
      <c r="J15" s="147">
        <v>0</v>
      </c>
      <c r="K15" s="147">
        <v>4916.1530000000002</v>
      </c>
      <c r="L15" s="147">
        <v>5279.2798399985113</v>
      </c>
      <c r="M15" s="147">
        <v>0</v>
      </c>
      <c r="N15" s="147">
        <v>-317263.07903067174</v>
      </c>
      <c r="O15" s="147">
        <v>145483.34911038852</v>
      </c>
      <c r="P15" s="169">
        <f>B15+C15-D15-E15-F15-G15-H15-I15+J15-K15+L15-M15++N15+O15</f>
        <v>1774749.7879169697</v>
      </c>
    </row>
    <row r="16" spans="1:16" x14ac:dyDescent="0.25">
      <c r="A16" s="149" t="s">
        <v>259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25">
      <c r="A17" s="149" t="s">
        <v>258</v>
      </c>
      <c r="B17" s="147">
        <v>4710836.5790849989</v>
      </c>
      <c r="C17" s="147">
        <v>1298271.3239814674</v>
      </c>
      <c r="D17" s="147">
        <v>14693.363792275484</v>
      </c>
      <c r="E17" s="147">
        <v>1427.7130355179677</v>
      </c>
      <c r="F17" s="147">
        <v>403.17423123306446</v>
      </c>
      <c r="G17" s="147">
        <v>8332.6045829784816</v>
      </c>
      <c r="H17" s="147">
        <v>0</v>
      </c>
      <c r="I17" s="147">
        <v>1182774.9003345862</v>
      </c>
      <c r="J17" s="147">
        <v>0</v>
      </c>
      <c r="K17" s="147">
        <v>20592.550623600004</v>
      </c>
      <c r="L17" s="147">
        <v>379.17599999999999</v>
      </c>
      <c r="M17" s="147">
        <v>122343.8514002</v>
      </c>
      <c r="N17" s="147">
        <v>64318.105083721588</v>
      </c>
      <c r="O17" s="147">
        <v>-1278724.9542701305</v>
      </c>
      <c r="P17" s="169">
        <f>B17+C17-D17-E17-F17-G17-H17-I17+J17-K17+L17-M17++N17+O17</f>
        <v>3444512.0718796658</v>
      </c>
    </row>
    <row r="18" spans="1:16" x14ac:dyDescent="0.25">
      <c r="A18" s="149" t="s">
        <v>257</v>
      </c>
      <c r="B18" s="147">
        <v>3508809.2761599999</v>
      </c>
      <c r="C18" s="147">
        <v>891968.13257987215</v>
      </c>
      <c r="D18" s="147">
        <v>10316.932228377591</v>
      </c>
      <c r="E18" s="147">
        <v>1752.3457313767481</v>
      </c>
      <c r="F18" s="147">
        <v>1350.9989329567049</v>
      </c>
      <c r="G18" s="147">
        <v>0</v>
      </c>
      <c r="H18" s="147">
        <v>12224.816921297779</v>
      </c>
      <c r="I18" s="147">
        <v>902312.41739636497</v>
      </c>
      <c r="J18" s="147">
        <v>0</v>
      </c>
      <c r="K18" s="147">
        <v>65738.282999999996</v>
      </c>
      <c r="L18" s="147">
        <v>284955.96792000195</v>
      </c>
      <c r="M18" s="147">
        <v>0</v>
      </c>
      <c r="N18" s="147">
        <v>50622.770630502004</v>
      </c>
      <c r="O18" s="147">
        <v>340172.31003581337</v>
      </c>
      <c r="P18" s="169">
        <f>B18+C18-D18-E18-F18-G18-H18-I18+J18-K18+L18-M18++N18+O18</f>
        <v>4082832.6631158162</v>
      </c>
    </row>
    <row r="19" spans="1:16" x14ac:dyDescent="0.25">
      <c r="A19" s="149" t="s">
        <v>256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149" t="s">
        <v>255</v>
      </c>
      <c r="B20" s="147">
        <v>19434952.284542121</v>
      </c>
      <c r="C20" s="147">
        <v>6851938.7994901063</v>
      </c>
      <c r="D20" s="147">
        <v>377920.53497596108</v>
      </c>
      <c r="E20" s="147">
        <v>317.38067999999998</v>
      </c>
      <c r="F20" s="147">
        <v>0</v>
      </c>
      <c r="G20" s="147">
        <v>13710.353682854406</v>
      </c>
      <c r="H20" s="147">
        <v>18340.386239999996</v>
      </c>
      <c r="I20" s="147">
        <v>4830789.0988900159</v>
      </c>
      <c r="J20" s="147">
        <v>0</v>
      </c>
      <c r="K20" s="147">
        <v>1755.98272</v>
      </c>
      <c r="L20" s="147">
        <v>645905.00732851401</v>
      </c>
      <c r="M20" s="147">
        <v>24786.72672821999</v>
      </c>
      <c r="N20" s="147">
        <v>446137.65544669068</v>
      </c>
      <c r="O20" s="147">
        <v>-1744834.6439903968</v>
      </c>
      <c r="P20" s="169">
        <f>B20+C20-D20-E20-F20-G20-H20-I20+J20-K20+L20-M20++N20+O20</f>
        <v>20366478.638899982</v>
      </c>
    </row>
    <row r="21" spans="1:16" x14ac:dyDescent="0.25">
      <c r="A21" s="149" t="s">
        <v>254</v>
      </c>
      <c r="B21" s="147">
        <v>2146266.7376299798</v>
      </c>
      <c r="C21" s="147">
        <v>2264962.5118971681</v>
      </c>
      <c r="D21" s="147">
        <v>76091.585472652252</v>
      </c>
      <c r="E21" s="147">
        <v>789.20473535399992</v>
      </c>
      <c r="F21" s="147">
        <v>0</v>
      </c>
      <c r="G21" s="147">
        <v>13717.089711810098</v>
      </c>
      <c r="H21" s="147">
        <v>13.6221600000001</v>
      </c>
      <c r="I21" s="147">
        <v>1220967.275536454</v>
      </c>
      <c r="J21" s="147">
        <v>0</v>
      </c>
      <c r="K21" s="147">
        <v>0</v>
      </c>
      <c r="L21" s="147">
        <v>293452.80550001672</v>
      </c>
      <c r="M21" s="147">
        <v>217</v>
      </c>
      <c r="N21" s="147">
        <v>146715.71815897455</v>
      </c>
      <c r="O21" s="147">
        <v>14391064.606698912</v>
      </c>
      <c r="P21" s="169">
        <f>B21+C21-D21-E21-F21-G21-H21-I21+J21-K21+L21-M21++N21+O21</f>
        <v>17930666.602268778</v>
      </c>
    </row>
    <row r="22" spans="1:16" x14ac:dyDescent="0.25">
      <c r="A22" s="149" t="s">
        <v>253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5">
      <c r="A23" s="149" t="s">
        <v>230</v>
      </c>
      <c r="B23" s="147">
        <v>9.9999999999999998E-13</v>
      </c>
      <c r="C23" s="147">
        <v>107092.14165000001</v>
      </c>
      <c r="D23" s="147">
        <v>0</v>
      </c>
      <c r="E23" s="147">
        <v>0</v>
      </c>
      <c r="F23" s="147">
        <v>0</v>
      </c>
      <c r="G23" s="147">
        <v>0</v>
      </c>
      <c r="H23" s="147">
        <v>66689.470799999996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77.212000000000003</v>
      </c>
      <c r="O23" s="147">
        <v>-40213.356849999996</v>
      </c>
      <c r="P23" s="169">
        <f>B23+C23-D23-E23-F23-G23-H23-I23+J23-K23+L23-M23++N23+O23</f>
        <v>266.52600000001257</v>
      </c>
    </row>
    <row r="24" spans="1:16" x14ac:dyDescent="0.25">
      <c r="A24" s="149" t="s">
        <v>252</v>
      </c>
      <c r="B24" s="147">
        <v>18113101.47891929</v>
      </c>
      <c r="C24" s="147">
        <v>4744882.6722186217</v>
      </c>
      <c r="D24" s="147">
        <v>48389.18244139856</v>
      </c>
      <c r="E24" s="147">
        <v>14.697899999999999</v>
      </c>
      <c r="F24" s="147">
        <v>0</v>
      </c>
      <c r="G24" s="147">
        <v>681035.95012913947</v>
      </c>
      <c r="H24" s="147">
        <v>3109827.3782677283</v>
      </c>
      <c r="I24" s="147">
        <v>144732.03739568355</v>
      </c>
      <c r="J24" s="147">
        <v>-3079.1282134221101</v>
      </c>
      <c r="K24" s="147">
        <v>331.52248000000003</v>
      </c>
      <c r="L24" s="147">
        <v>656737.56326389348</v>
      </c>
      <c r="M24" s="147">
        <v>967557.03187049343</v>
      </c>
      <c r="N24" s="147">
        <v>-768084.69576989429</v>
      </c>
      <c r="O24" s="147">
        <v>292675.5282227241</v>
      </c>
      <c r="P24" s="169">
        <f>B24+C24-D24-E24-F24-G24-H24-I24+J24-K24+L24-M24++N24+O24</f>
        <v>18084345.618156772</v>
      </c>
    </row>
    <row r="25" spans="1:16" x14ac:dyDescent="0.25">
      <c r="A25" s="149" t="s">
        <v>251</v>
      </c>
      <c r="B25" s="147">
        <v>24361940.84894342</v>
      </c>
      <c r="C25" s="147">
        <v>2455648.089005169</v>
      </c>
      <c r="D25" s="147">
        <v>55462.153905728097</v>
      </c>
      <c r="E25" s="147">
        <v>169.03355999999997</v>
      </c>
      <c r="F25" s="147">
        <v>0</v>
      </c>
      <c r="G25" s="147">
        <v>679376.31238635874</v>
      </c>
      <c r="H25" s="147">
        <v>654807.88028481824</v>
      </c>
      <c r="I25" s="147">
        <v>25656.734860748638</v>
      </c>
      <c r="J25" s="147">
        <v>-24738.700598199899</v>
      </c>
      <c r="K25" s="147">
        <v>261.52946927734371</v>
      </c>
      <c r="L25" s="147">
        <v>1551443.8331838187</v>
      </c>
      <c r="M25" s="147">
        <v>1443082.8599242682</v>
      </c>
      <c r="N25" s="147">
        <v>-34337.629367713322</v>
      </c>
      <c r="O25" s="147">
        <v>118461.92135307056</v>
      </c>
      <c r="P25" s="169">
        <f>B25+C25-D25-E25-F25-G25-H25-I25+J25-K25+L25-M25++N25+O25</f>
        <v>25569601.858128365</v>
      </c>
    </row>
    <row r="26" spans="1:16" x14ac:dyDescent="0.25">
      <c r="A26" s="149" t="s">
        <v>250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25">
      <c r="A27" s="149" t="s">
        <v>249</v>
      </c>
      <c r="B27" s="147">
        <v>9.9999999999999998E-13</v>
      </c>
      <c r="C27" s="147">
        <v>115843.2198939486</v>
      </c>
      <c r="D27" s="147">
        <v>0</v>
      </c>
      <c r="E27" s="147">
        <v>0</v>
      </c>
      <c r="F27" s="147">
        <v>0</v>
      </c>
      <c r="G27" s="147">
        <v>-150214.40090000001</v>
      </c>
      <c r="H27" s="147">
        <v>139426.5301368525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-102144.18587709611</v>
      </c>
      <c r="P27" s="169">
        <f>B27+C27-D27-E27-F27-G27-H27-I27+J27-K27+L27-M27++N27+O27</f>
        <v>24486.904779999983</v>
      </c>
    </row>
    <row r="28" spans="1:16" x14ac:dyDescent="0.25">
      <c r="A28" s="149" t="s">
        <v>248</v>
      </c>
      <c r="B28" s="147">
        <v>8829745.9210364893</v>
      </c>
      <c r="C28" s="147">
        <v>377029.67274399998</v>
      </c>
      <c r="D28" s="147">
        <v>87184.591257555614</v>
      </c>
      <c r="E28" s="147">
        <v>2895.8508807924354</v>
      </c>
      <c r="F28" s="147">
        <v>703.0388800000004</v>
      </c>
      <c r="G28" s="147">
        <v>360434.3024316681</v>
      </c>
      <c r="H28" s="147">
        <v>486926.66204298008</v>
      </c>
      <c r="I28" s="147">
        <v>123503.37274999998</v>
      </c>
      <c r="J28" s="147">
        <v>-4654.8670486537403</v>
      </c>
      <c r="K28" s="147">
        <v>401.14499999999998</v>
      </c>
      <c r="L28" s="147">
        <v>614625.0629579752</v>
      </c>
      <c r="M28" s="147">
        <v>289907.67106999992</v>
      </c>
      <c r="N28" s="147">
        <v>131323.66946529047</v>
      </c>
      <c r="O28" s="147">
        <v>-754330.3654999967</v>
      </c>
      <c r="P28" s="169">
        <f>B28+C28-D28-E28-F28-G28-H28-I28+J28-K28+L28-M28++N28+O28</f>
        <v>7841782.45934211</v>
      </c>
    </row>
    <row r="29" spans="1:16" x14ac:dyDescent="0.25">
      <c r="A29" s="149" t="s">
        <v>247</v>
      </c>
      <c r="B29" s="147">
        <v>605028.55489009095</v>
      </c>
      <c r="C29" s="147">
        <v>1435.0155600000001</v>
      </c>
      <c r="D29" s="147">
        <v>1654.7739019954195</v>
      </c>
      <c r="E29" s="147">
        <v>0</v>
      </c>
      <c r="F29" s="147">
        <v>0</v>
      </c>
      <c r="G29" s="147">
        <v>40383.660952637627</v>
      </c>
      <c r="H29" s="147">
        <v>24071.145632637687</v>
      </c>
      <c r="I29" s="147">
        <v>15.56372</v>
      </c>
      <c r="J29" s="147">
        <v>-5.663810665139871</v>
      </c>
      <c r="K29" s="147">
        <v>0</v>
      </c>
      <c r="L29" s="147">
        <v>54922.217989999903</v>
      </c>
      <c r="M29" s="147">
        <v>30356.41704</v>
      </c>
      <c r="N29" s="147">
        <v>-15163.473191238667</v>
      </c>
      <c r="O29" s="147">
        <v>284.81784000011248</v>
      </c>
      <c r="P29" s="169">
        <f>B29+C29-D29-E29-F29-G29-H29-I29+J29-K29+L29-M29++N29+O29</f>
        <v>550019.90803091647</v>
      </c>
    </row>
    <row r="30" spans="1:16" x14ac:dyDescent="0.25">
      <c r="A30" s="10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1.2851562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23" t="s">
        <v>311</v>
      </c>
      <c r="B1" s="209">
        <v>43830</v>
      </c>
      <c r="C1" s="181"/>
      <c r="D1" s="119"/>
      <c r="E1" s="118"/>
      <c r="F1" s="119"/>
      <c r="G1" s="119"/>
      <c r="H1" s="119"/>
      <c r="I1" s="119"/>
      <c r="J1" s="119"/>
      <c r="K1" s="100"/>
    </row>
    <row r="2" spans="1:11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x14ac:dyDescent="0.25">
      <c r="A3" s="100"/>
      <c r="B3" s="240" t="s">
        <v>310</v>
      </c>
      <c r="C3" s="241"/>
      <c r="D3" s="241"/>
      <c r="E3" s="241"/>
      <c r="F3" s="241"/>
      <c r="G3" s="241"/>
      <c r="H3" s="241"/>
      <c r="I3" s="241"/>
      <c r="J3" s="242"/>
      <c r="K3" s="106"/>
    </row>
    <row r="4" spans="1:11" ht="38.25" customHeight="1" thickBot="1" x14ac:dyDescent="0.3">
      <c r="A4" s="100"/>
      <c r="B4" s="179" t="s">
        <v>307</v>
      </c>
      <c r="C4" s="178" t="s">
        <v>282</v>
      </c>
      <c r="D4" s="178" t="s">
        <v>281</v>
      </c>
      <c r="E4" s="178" t="s">
        <v>280</v>
      </c>
      <c r="F4" s="178" t="s">
        <v>279</v>
      </c>
      <c r="G4" s="178" t="s">
        <v>274</v>
      </c>
      <c r="H4" s="178" t="s">
        <v>175</v>
      </c>
      <c r="I4" s="178" t="s">
        <v>263</v>
      </c>
      <c r="J4" s="177" t="s">
        <v>305</v>
      </c>
      <c r="K4" s="106"/>
    </row>
    <row r="5" spans="1:1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6"/>
    </row>
    <row r="6" spans="1:1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6"/>
    </row>
    <row r="7" spans="1:11" ht="15.75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6"/>
    </row>
    <row r="8" spans="1:11" ht="21" thickBot="1" x14ac:dyDescent="0.3">
      <c r="A8" s="152" t="s">
        <v>235</v>
      </c>
      <c r="B8" s="173"/>
      <c r="C8" s="173"/>
      <c r="D8" s="173"/>
      <c r="E8" s="173"/>
      <c r="F8" s="173"/>
      <c r="G8" s="173"/>
      <c r="H8" s="173"/>
      <c r="I8" s="173"/>
      <c r="J8" s="172"/>
      <c r="K8" s="106"/>
    </row>
    <row r="9" spans="1:1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6"/>
    </row>
    <row r="10" spans="1:11" x14ac:dyDescent="0.25">
      <c r="A10" s="174" t="s">
        <v>231</v>
      </c>
      <c r="B10" s="169">
        <f t="shared" ref="B10:I10" si="0">SUM(B14:B29)</f>
        <v>34375923.024394765</v>
      </c>
      <c r="C10" s="169">
        <f t="shared" si="0"/>
        <v>105419744.61826192</v>
      </c>
      <c r="D10" s="169">
        <f t="shared" si="0"/>
        <v>109701650.95270336</v>
      </c>
      <c r="E10" s="169">
        <f t="shared" si="0"/>
        <v>0</v>
      </c>
      <c r="F10" s="169">
        <f t="shared" si="0"/>
        <v>151764.14448000002</v>
      </c>
      <c r="G10" s="169">
        <f t="shared" si="0"/>
        <v>1007267.2523343854</v>
      </c>
      <c r="H10" s="169">
        <f t="shared" si="0"/>
        <v>17751181.968563408</v>
      </c>
      <c r="I10" s="169">
        <f t="shared" si="0"/>
        <v>49191818.135719471</v>
      </c>
      <c r="J10" s="183">
        <f>B10+C10-D10+E10+F10+G10+H10+I10</f>
        <v>98196048.191050589</v>
      </c>
      <c r="K10" s="106"/>
    </row>
    <row r="11" spans="1:11" ht="15.75" thickBot="1" x14ac:dyDescent="0.3">
      <c r="A11" s="100"/>
      <c r="B11" s="170"/>
      <c r="C11" s="170"/>
      <c r="D11" s="170"/>
      <c r="E11" s="170"/>
      <c r="F11" s="170"/>
      <c r="G11" s="170"/>
      <c r="H11" s="170"/>
      <c r="I11" s="170"/>
      <c r="J11" s="170"/>
      <c r="K11" s="106"/>
    </row>
    <row r="12" spans="1:11" ht="21" thickBot="1" x14ac:dyDescent="0.3">
      <c r="A12" s="152" t="s">
        <v>231</v>
      </c>
      <c r="B12" s="186"/>
      <c r="C12" s="186"/>
      <c r="D12" s="186"/>
      <c r="E12" s="186"/>
      <c r="F12" s="186"/>
      <c r="G12" s="186"/>
      <c r="H12" s="186"/>
      <c r="I12" s="186"/>
      <c r="J12" s="185"/>
      <c r="K12" s="106"/>
    </row>
    <row r="13" spans="1:11" x14ac:dyDescent="0.25">
      <c r="A13" s="100"/>
      <c r="B13" s="170"/>
      <c r="C13" s="170"/>
      <c r="D13" s="170"/>
      <c r="E13" s="170"/>
      <c r="F13" s="170"/>
      <c r="G13" s="170"/>
      <c r="H13" s="170"/>
      <c r="I13" s="170"/>
      <c r="J13" s="170"/>
      <c r="K13" s="106"/>
    </row>
    <row r="14" spans="1:11" x14ac:dyDescent="0.25">
      <c r="A14" s="149" t="s">
        <v>261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06"/>
    </row>
    <row r="15" spans="1:11" x14ac:dyDescent="0.25">
      <c r="A15" s="149" t="s">
        <v>260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06"/>
    </row>
    <row r="16" spans="1:11" x14ac:dyDescent="0.25">
      <c r="A16" s="149" t="s">
        <v>259</v>
      </c>
      <c r="B16" s="147">
        <v>16902344.844373882</v>
      </c>
      <c r="C16" s="147">
        <v>1619787.7980428778</v>
      </c>
      <c r="D16" s="147">
        <v>1081906.2666635816</v>
      </c>
      <c r="E16" s="147">
        <v>0</v>
      </c>
      <c r="F16" s="147">
        <v>0</v>
      </c>
      <c r="G16" s="147">
        <v>630952.08380518132</v>
      </c>
      <c r="H16" s="147">
        <v>-142461.1907865695</v>
      </c>
      <c r="I16" s="147">
        <v>2409807.8384020571</v>
      </c>
      <c r="J16" s="183">
        <f>B16+C16-D16+E16+F16+G16+H16+I16</f>
        <v>20338525.107173845</v>
      </c>
      <c r="K16" s="106"/>
    </row>
    <row r="17" spans="1:11" x14ac:dyDescent="0.25">
      <c r="A17" s="149" t="s">
        <v>258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06"/>
    </row>
    <row r="18" spans="1:11" x14ac:dyDescent="0.25">
      <c r="A18" s="149" t="s">
        <v>257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06"/>
    </row>
    <row r="19" spans="1:11" x14ac:dyDescent="0.25">
      <c r="A19" s="149" t="s">
        <v>256</v>
      </c>
      <c r="B19" s="147">
        <v>134001.51314</v>
      </c>
      <c r="C19" s="147">
        <v>27395.620022816853</v>
      </c>
      <c r="D19" s="147">
        <v>14578.134906816878</v>
      </c>
      <c r="E19" s="147">
        <v>0</v>
      </c>
      <c r="F19" s="147">
        <v>0</v>
      </c>
      <c r="G19" s="147">
        <v>-2589.613559999987</v>
      </c>
      <c r="H19" s="147">
        <v>-1831.0381951899999</v>
      </c>
      <c r="I19" s="147">
        <v>-62389.540534809981</v>
      </c>
      <c r="J19" s="183">
        <f>B19+C19-D19+E19+F19+G19+H19+I19</f>
        <v>80008.805965999985</v>
      </c>
      <c r="K19" s="106"/>
    </row>
    <row r="20" spans="1:11" x14ac:dyDescent="0.25">
      <c r="A20" s="149" t="s">
        <v>255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06"/>
    </row>
    <row r="21" spans="1:11" x14ac:dyDescent="0.25">
      <c r="A21" s="149" t="s">
        <v>254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06"/>
    </row>
    <row r="22" spans="1:11" x14ac:dyDescent="0.25">
      <c r="A22" s="149" t="s">
        <v>253</v>
      </c>
      <c r="B22" s="147">
        <v>2006405.9220743265</v>
      </c>
      <c r="C22" s="147">
        <v>258310.83151622119</v>
      </c>
      <c r="D22" s="147">
        <v>82609.699109895053</v>
      </c>
      <c r="E22" s="147">
        <v>0</v>
      </c>
      <c r="F22" s="147">
        <v>0</v>
      </c>
      <c r="G22" s="147">
        <v>207792.38109000964</v>
      </c>
      <c r="H22" s="147">
        <v>3194294.5055559957</v>
      </c>
      <c r="I22" s="147">
        <v>60861252.602925859</v>
      </c>
      <c r="J22" s="183">
        <f>B22+C22-D22+E22+F22+G22+H22+I22</f>
        <v>66445446.544052519</v>
      </c>
      <c r="K22" s="106"/>
    </row>
    <row r="23" spans="1:11" x14ac:dyDescent="0.25">
      <c r="A23" s="149" t="s">
        <v>230</v>
      </c>
      <c r="B23" s="147">
        <v>32093.798999999999</v>
      </c>
      <c r="C23" s="147">
        <v>170990.14799999999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83">
        <f>B23+C23-D23+E23+F23+G23+H23+I23</f>
        <v>203083.94699999999</v>
      </c>
      <c r="K23" s="106"/>
    </row>
    <row r="24" spans="1:11" x14ac:dyDescent="0.25">
      <c r="A24" s="149" t="s">
        <v>252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06"/>
    </row>
    <row r="25" spans="1:11" x14ac:dyDescent="0.25">
      <c r="A25" s="149" t="s">
        <v>251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06"/>
    </row>
    <row r="26" spans="1:11" x14ac:dyDescent="0.25">
      <c r="A26" s="149" t="s">
        <v>250</v>
      </c>
      <c r="B26" s="147">
        <v>15301076.945806557</v>
      </c>
      <c r="C26" s="147">
        <v>103343260.22068</v>
      </c>
      <c r="D26" s="147">
        <v>108522556.85202307</v>
      </c>
      <c r="E26" s="147">
        <v>0</v>
      </c>
      <c r="F26" s="147">
        <v>151764.14448000002</v>
      </c>
      <c r="G26" s="147">
        <v>171112.40099919453</v>
      </c>
      <c r="H26" s="147">
        <v>14701179.69198917</v>
      </c>
      <c r="I26" s="147">
        <v>-14016852.765073635</v>
      </c>
      <c r="J26" s="183">
        <f>B26+C26-D26+E26+F26+G26+H26+I26</f>
        <v>11128983.786858223</v>
      </c>
      <c r="K26" s="106"/>
    </row>
    <row r="27" spans="1:11" x14ac:dyDescent="0.25">
      <c r="A27" s="149" t="s">
        <v>249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06"/>
    </row>
    <row r="28" spans="1:11" x14ac:dyDescent="0.25">
      <c r="A28" s="149" t="s">
        <v>248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06"/>
    </row>
    <row r="29" spans="1:11" x14ac:dyDescent="0.25">
      <c r="A29" s="149" t="s">
        <v>247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06"/>
    </row>
    <row r="30" spans="1:1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6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5" x14ac:dyDescent="0.25"/>
  <cols>
    <col min="1" max="1" width="85.85546875" bestFit="1" customWidth="1"/>
    <col min="2" max="3" width="12.42578125" bestFit="1" customWidth="1"/>
  </cols>
  <sheetData>
    <row r="1" spans="1:4" ht="21" thickBot="1" x14ac:dyDescent="0.35">
      <c r="A1" s="201" t="s">
        <v>312</v>
      </c>
      <c r="B1" s="119"/>
      <c r="C1" s="119"/>
      <c r="D1" s="119"/>
    </row>
    <row r="2" spans="1:4" ht="20.25" x14ac:dyDescent="0.3">
      <c r="A2" s="207"/>
      <c r="B2" s="206"/>
      <c r="C2" s="206"/>
      <c r="D2" s="206"/>
    </row>
    <row r="3" spans="1:4" ht="15.75" thickBot="1" x14ac:dyDescent="0.3">
      <c r="A3" s="100"/>
      <c r="B3" s="208">
        <v>43830</v>
      </c>
      <c r="C3" s="208">
        <v>43830</v>
      </c>
      <c r="D3" s="100"/>
    </row>
    <row r="4" spans="1:4" x14ac:dyDescent="0.25">
      <c r="A4" s="100"/>
      <c r="B4" s="205" t="s">
        <v>238</v>
      </c>
      <c r="C4" s="204" t="s">
        <v>236</v>
      </c>
      <c r="D4" s="100"/>
    </row>
    <row r="5" spans="1:4" ht="15.75" thickBot="1" x14ac:dyDescent="0.3">
      <c r="A5" s="100"/>
      <c r="B5" s="164" t="s">
        <v>78</v>
      </c>
      <c r="C5" s="163" t="s">
        <v>78</v>
      </c>
      <c r="D5" s="100"/>
    </row>
    <row r="6" spans="1:4" ht="15.75" thickBot="1" x14ac:dyDescent="0.3">
      <c r="A6" s="193"/>
      <c r="B6" s="192"/>
      <c r="C6" s="192"/>
      <c r="D6" s="100"/>
    </row>
    <row r="7" spans="1:4" ht="21" thickBot="1" x14ac:dyDescent="0.3">
      <c r="A7" s="191" t="s">
        <v>235</v>
      </c>
      <c r="B7" s="158"/>
      <c r="C7" s="203"/>
      <c r="D7" s="100"/>
    </row>
    <row r="8" spans="1:4" x14ac:dyDescent="0.25">
      <c r="A8" s="193"/>
      <c r="B8" s="192"/>
      <c r="C8" s="192"/>
      <c r="D8" s="100"/>
    </row>
    <row r="9" spans="1:4" x14ac:dyDescent="0.25">
      <c r="A9" s="193"/>
      <c r="B9" s="192"/>
      <c r="C9" s="192"/>
      <c r="D9" s="100"/>
    </row>
    <row r="10" spans="1:4" x14ac:dyDescent="0.25">
      <c r="A10" s="157" t="s">
        <v>234</v>
      </c>
      <c r="B10" s="188">
        <f>SUM(B18:B29)</f>
        <v>16361149.974751616</v>
      </c>
      <c r="C10" s="188">
        <f>SUM(C18:C29)</f>
        <v>12613054.502346279</v>
      </c>
      <c r="D10" s="100"/>
    </row>
    <row r="11" spans="1:4" x14ac:dyDescent="0.25">
      <c r="A11" s="157" t="s">
        <v>233</v>
      </c>
      <c r="B11" s="188">
        <f>SUM(B33:B44)</f>
        <v>15959120.753848493</v>
      </c>
      <c r="C11" s="188">
        <f>SUM(C33:C44)</f>
        <v>15763523.753209678</v>
      </c>
      <c r="D11" s="100"/>
    </row>
    <row r="12" spans="1:4" x14ac:dyDescent="0.25">
      <c r="A12" s="157" t="s">
        <v>232</v>
      </c>
      <c r="B12" s="188">
        <f>SUM(B48:B59)</f>
        <v>2512080.69578266</v>
      </c>
      <c r="C12" s="188">
        <f>SUM(C48:C59)</f>
        <v>1921876.2263226416</v>
      </c>
      <c r="D12" s="100"/>
    </row>
    <row r="13" spans="1:4" x14ac:dyDescent="0.25">
      <c r="A13" s="195" t="s">
        <v>0</v>
      </c>
      <c r="B13" s="194">
        <f>SUM(B10:B12)</f>
        <v>34832351.424382769</v>
      </c>
      <c r="C13" s="194">
        <f>SUM(C10:C12)</f>
        <v>30298454.481878601</v>
      </c>
      <c r="D13" s="100"/>
    </row>
    <row r="14" spans="1:4" x14ac:dyDescent="0.25">
      <c r="A14" s="193"/>
      <c r="B14" s="192"/>
      <c r="C14" s="192"/>
      <c r="D14" s="100"/>
    </row>
    <row r="15" spans="1:4" ht="15.75" thickBot="1" x14ac:dyDescent="0.3">
      <c r="A15" s="193"/>
      <c r="B15" s="192"/>
      <c r="C15" s="192"/>
      <c r="D15" s="100"/>
    </row>
    <row r="16" spans="1:4" ht="21" thickBot="1" x14ac:dyDescent="0.3">
      <c r="A16" s="191" t="s">
        <v>234</v>
      </c>
      <c r="B16" s="158"/>
      <c r="C16" s="203"/>
      <c r="D16" s="100"/>
    </row>
    <row r="17" spans="1:4" x14ac:dyDescent="0.25">
      <c r="A17" s="189"/>
      <c r="B17" s="161"/>
      <c r="C17" s="161"/>
      <c r="D17" s="100"/>
    </row>
    <row r="18" spans="1:4" x14ac:dyDescent="0.25">
      <c r="A18" s="149" t="s">
        <v>296</v>
      </c>
      <c r="B18" s="147">
        <v>6290893.1772293225</v>
      </c>
      <c r="C18" s="147">
        <v>5359953.0197074134</v>
      </c>
      <c r="D18" s="100"/>
    </row>
    <row r="19" spans="1:4" x14ac:dyDescent="0.25">
      <c r="A19" s="149" t="s">
        <v>295</v>
      </c>
      <c r="B19" s="147">
        <v>1335353.5095503151</v>
      </c>
      <c r="C19" s="147">
        <v>1344144.6303210461</v>
      </c>
      <c r="D19" s="100"/>
    </row>
    <row r="20" spans="1:4" x14ac:dyDescent="0.25">
      <c r="A20" s="149" t="s">
        <v>294</v>
      </c>
      <c r="B20" s="147">
        <v>1894229.8717687167</v>
      </c>
      <c r="C20" s="147">
        <v>742434.8962744039</v>
      </c>
      <c r="D20" s="100"/>
    </row>
    <row r="21" spans="1:4" x14ac:dyDescent="0.25">
      <c r="A21" s="149" t="s">
        <v>293</v>
      </c>
      <c r="B21" s="147">
        <v>4476501.8485606927</v>
      </c>
      <c r="C21" s="147">
        <v>3421940.0869665882</v>
      </c>
      <c r="D21" s="100"/>
    </row>
    <row r="22" spans="1:4" x14ac:dyDescent="0.25">
      <c r="A22" s="149" t="s">
        <v>292</v>
      </c>
      <c r="B22" s="147">
        <v>0</v>
      </c>
      <c r="C22" s="147">
        <v>0</v>
      </c>
      <c r="D22" s="100"/>
    </row>
    <row r="23" spans="1:4" x14ac:dyDescent="0.25">
      <c r="A23" s="149" t="s">
        <v>291</v>
      </c>
      <c r="B23" s="147">
        <v>1557529.483664996</v>
      </c>
      <c r="C23" s="147">
        <v>1177684.912428478</v>
      </c>
      <c r="D23" s="100"/>
    </row>
    <row r="24" spans="1:4" x14ac:dyDescent="0.25">
      <c r="A24" s="149" t="s">
        <v>290</v>
      </c>
      <c r="B24" s="147">
        <v>76103.897969999991</v>
      </c>
      <c r="C24" s="147">
        <v>76103.897969999991</v>
      </c>
      <c r="D24" s="100"/>
    </row>
    <row r="25" spans="1:4" x14ac:dyDescent="0.25">
      <c r="A25" s="149" t="s">
        <v>289</v>
      </c>
      <c r="B25" s="147">
        <v>0</v>
      </c>
      <c r="C25" s="147">
        <v>0</v>
      </c>
      <c r="D25" s="100"/>
    </row>
    <row r="26" spans="1:4" x14ac:dyDescent="0.25">
      <c r="A26" s="149" t="s">
        <v>288</v>
      </c>
      <c r="B26" s="147">
        <v>7564.3966400000008</v>
      </c>
      <c r="C26" s="147">
        <v>7564.3966400000008</v>
      </c>
      <c r="D26" s="100"/>
    </row>
    <row r="27" spans="1:4" x14ac:dyDescent="0.25">
      <c r="A27" s="149" t="s">
        <v>287</v>
      </c>
      <c r="B27" s="147">
        <v>472556.85</v>
      </c>
      <c r="C27" s="147">
        <v>472556.85</v>
      </c>
      <c r="D27" s="100"/>
    </row>
    <row r="28" spans="1:4" x14ac:dyDescent="0.25">
      <c r="A28" s="149" t="s">
        <v>286</v>
      </c>
      <c r="B28" s="147">
        <v>0</v>
      </c>
      <c r="C28" s="147">
        <v>0</v>
      </c>
      <c r="D28" s="100"/>
    </row>
    <row r="29" spans="1:4" x14ac:dyDescent="0.25">
      <c r="A29" s="149" t="s">
        <v>175</v>
      </c>
      <c r="B29" s="147">
        <v>250416.93936757397</v>
      </c>
      <c r="C29" s="147">
        <v>10671.812038349408</v>
      </c>
      <c r="D29" s="100"/>
    </row>
    <row r="30" spans="1:4" ht="15.75" thickBot="1" x14ac:dyDescent="0.3">
      <c r="A30" s="100"/>
      <c r="B30" s="100"/>
      <c r="C30" s="100"/>
      <c r="D30" s="100"/>
    </row>
    <row r="31" spans="1:4" ht="21" thickBot="1" x14ac:dyDescent="0.3">
      <c r="A31" s="191" t="s">
        <v>233</v>
      </c>
      <c r="B31" s="158"/>
      <c r="C31" s="203"/>
      <c r="D31" s="100"/>
    </row>
    <row r="32" spans="1:4" x14ac:dyDescent="0.25">
      <c r="A32" s="189"/>
      <c r="B32" s="161"/>
      <c r="C32" s="161"/>
      <c r="D32" s="100"/>
    </row>
    <row r="33" spans="1:4" x14ac:dyDescent="0.25">
      <c r="A33" s="149" t="s">
        <v>296</v>
      </c>
      <c r="B33" s="147">
        <v>5642.1027505155507</v>
      </c>
      <c r="C33" s="147">
        <v>-176466.33868109467</v>
      </c>
      <c r="D33" s="100"/>
    </row>
    <row r="34" spans="1:4" x14ac:dyDescent="0.25">
      <c r="A34" s="149" t="s">
        <v>295</v>
      </c>
      <c r="B34" s="147">
        <v>8.3527688376382794E-5</v>
      </c>
      <c r="C34" s="147">
        <v>-444.71691857946331</v>
      </c>
      <c r="D34" s="100"/>
    </row>
    <row r="35" spans="1:4" x14ac:dyDescent="0.25">
      <c r="A35" s="149" t="s">
        <v>294</v>
      </c>
      <c r="B35" s="147">
        <v>-2.3867518561944387</v>
      </c>
      <c r="C35" s="147">
        <v>-4726.3386327536446</v>
      </c>
      <c r="D35" s="100"/>
    </row>
    <row r="36" spans="1:4" x14ac:dyDescent="0.25">
      <c r="A36" s="149" t="s">
        <v>293</v>
      </c>
      <c r="B36" s="147">
        <v>9597.6399562724291</v>
      </c>
      <c r="C36" s="147">
        <v>7787.9489381729545</v>
      </c>
      <c r="D36" s="100"/>
    </row>
    <row r="37" spans="1:4" x14ac:dyDescent="0.25">
      <c r="A37" s="149" t="s">
        <v>292</v>
      </c>
      <c r="B37" s="147">
        <v>0</v>
      </c>
      <c r="C37" s="147">
        <v>0</v>
      </c>
      <c r="D37" s="100"/>
    </row>
    <row r="38" spans="1:4" x14ac:dyDescent="0.25">
      <c r="A38" s="149" t="s">
        <v>291</v>
      </c>
      <c r="B38" s="147">
        <v>4.3964564558731745</v>
      </c>
      <c r="C38" s="147">
        <v>-6540.071197876935</v>
      </c>
      <c r="D38" s="100"/>
    </row>
    <row r="39" spans="1:4" x14ac:dyDescent="0.25">
      <c r="A39" s="149" t="s">
        <v>290</v>
      </c>
      <c r="B39" s="147">
        <v>0</v>
      </c>
      <c r="C39" s="147">
        <v>0</v>
      </c>
      <c r="D39" s="100"/>
    </row>
    <row r="40" spans="1:4" x14ac:dyDescent="0.25">
      <c r="A40" s="149" t="s">
        <v>289</v>
      </c>
      <c r="B40" s="147">
        <v>0</v>
      </c>
      <c r="C40" s="147">
        <v>0</v>
      </c>
      <c r="D40" s="100"/>
    </row>
    <row r="41" spans="1:4" x14ac:dyDescent="0.25">
      <c r="A41" s="149" t="s">
        <v>288</v>
      </c>
      <c r="B41" s="147">
        <v>0</v>
      </c>
      <c r="C41" s="147">
        <v>0</v>
      </c>
      <c r="D41" s="100"/>
    </row>
    <row r="42" spans="1:4" x14ac:dyDescent="0.25">
      <c r="A42" s="149" t="s">
        <v>287</v>
      </c>
      <c r="B42" s="147">
        <v>15937873</v>
      </c>
      <c r="C42" s="147">
        <v>15937873</v>
      </c>
      <c r="D42" s="100"/>
    </row>
    <row r="43" spans="1:4" x14ac:dyDescent="0.25">
      <c r="A43" s="149" t="s">
        <v>286</v>
      </c>
      <c r="B43" s="147">
        <v>0</v>
      </c>
      <c r="C43" s="147">
        <v>0</v>
      </c>
      <c r="D43" s="100"/>
    </row>
    <row r="44" spans="1:4" x14ac:dyDescent="0.25">
      <c r="A44" s="149" t="s">
        <v>175</v>
      </c>
      <c r="B44" s="147">
        <v>6006.0013535786193</v>
      </c>
      <c r="C44" s="147">
        <v>6040.269701810862</v>
      </c>
      <c r="D44" s="100"/>
    </row>
    <row r="45" spans="1:4" ht="15.75" thickBot="1" x14ac:dyDescent="0.3">
      <c r="A45" s="100"/>
      <c r="B45" s="100"/>
      <c r="C45" s="100"/>
      <c r="D45" s="100"/>
    </row>
    <row r="46" spans="1:4" ht="21" thickBot="1" x14ac:dyDescent="0.3">
      <c r="A46" s="191" t="s">
        <v>232</v>
      </c>
      <c r="B46" s="158"/>
      <c r="C46" s="203"/>
      <c r="D46" s="100"/>
    </row>
    <row r="47" spans="1:4" x14ac:dyDescent="0.25">
      <c r="A47" s="189"/>
      <c r="B47" s="161"/>
      <c r="C47" s="161"/>
      <c r="D47" s="100"/>
    </row>
    <row r="48" spans="1:4" x14ac:dyDescent="0.25">
      <c r="A48" s="149" t="s">
        <v>296</v>
      </c>
      <c r="B48" s="147">
        <v>813107.58940295142</v>
      </c>
      <c r="C48" s="147">
        <v>552825.20184227952</v>
      </c>
      <c r="D48" s="100"/>
    </row>
    <row r="49" spans="1:4" x14ac:dyDescent="0.25">
      <c r="A49" s="149" t="s">
        <v>295</v>
      </c>
      <c r="B49" s="147">
        <v>103607.19032724934</v>
      </c>
      <c r="C49" s="147">
        <v>70418.879891660501</v>
      </c>
      <c r="D49" s="100"/>
    </row>
    <row r="50" spans="1:4" x14ac:dyDescent="0.25">
      <c r="A50" s="149" t="s">
        <v>294</v>
      </c>
      <c r="B50" s="147">
        <v>158449.99175889784</v>
      </c>
      <c r="C50" s="147">
        <v>38799.675215620991</v>
      </c>
      <c r="D50" s="100"/>
    </row>
    <row r="51" spans="1:4" x14ac:dyDescent="0.25">
      <c r="A51" s="149" t="s">
        <v>293</v>
      </c>
      <c r="B51" s="147">
        <v>1219810.878191065</v>
      </c>
      <c r="C51" s="147">
        <v>1071406.9698622657</v>
      </c>
      <c r="D51" s="100"/>
    </row>
    <row r="52" spans="1:4" x14ac:dyDescent="0.25">
      <c r="A52" s="149" t="s">
        <v>292</v>
      </c>
      <c r="B52" s="147">
        <v>0</v>
      </c>
      <c r="C52" s="147">
        <v>0</v>
      </c>
      <c r="D52" s="100"/>
    </row>
    <row r="53" spans="1:4" x14ac:dyDescent="0.25">
      <c r="A53" s="149" t="s">
        <v>291</v>
      </c>
      <c r="B53" s="147">
        <v>215249.60909559036</v>
      </c>
      <c r="C53" s="147">
        <v>186790.99375821918</v>
      </c>
      <c r="D53" s="100"/>
    </row>
    <row r="54" spans="1:4" x14ac:dyDescent="0.25">
      <c r="A54" s="149" t="s">
        <v>290</v>
      </c>
      <c r="B54" s="147">
        <v>0</v>
      </c>
      <c r="C54" s="147">
        <v>0</v>
      </c>
      <c r="D54" s="100"/>
    </row>
    <row r="55" spans="1:4" x14ac:dyDescent="0.25">
      <c r="A55" s="149" t="s">
        <v>289</v>
      </c>
      <c r="B55" s="147">
        <v>0</v>
      </c>
      <c r="C55" s="147">
        <v>0</v>
      </c>
      <c r="D55" s="100"/>
    </row>
    <row r="56" spans="1:4" x14ac:dyDescent="0.25">
      <c r="A56" s="149" t="s">
        <v>288</v>
      </c>
      <c r="B56" s="147">
        <v>0</v>
      </c>
      <c r="C56" s="147">
        <v>0</v>
      </c>
      <c r="D56" s="100"/>
    </row>
    <row r="57" spans="1:4" x14ac:dyDescent="0.25">
      <c r="A57" s="149" t="s">
        <v>287</v>
      </c>
      <c r="B57" s="147">
        <v>0</v>
      </c>
      <c r="C57" s="147">
        <v>0</v>
      </c>
      <c r="D57" s="100"/>
    </row>
    <row r="58" spans="1:4" x14ac:dyDescent="0.25">
      <c r="A58" s="149" t="s">
        <v>286</v>
      </c>
      <c r="B58" s="147">
        <v>0</v>
      </c>
      <c r="C58" s="147">
        <v>0</v>
      </c>
      <c r="D58" s="100"/>
    </row>
    <row r="59" spans="1:4" x14ac:dyDescent="0.25">
      <c r="A59" s="149" t="s">
        <v>175</v>
      </c>
      <c r="B59" s="147">
        <v>1855.4370069061652</v>
      </c>
      <c r="C59" s="147">
        <v>1634.5057525955838</v>
      </c>
      <c r="D59" s="100"/>
    </row>
    <row r="60" spans="1:4" x14ac:dyDescent="0.25">
      <c r="A60" s="100"/>
      <c r="B60" s="100"/>
      <c r="C60" s="100"/>
      <c r="D60" s="100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90" zoomScaleNormal="90" workbookViewId="0"/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23" t="s">
        <v>79</v>
      </c>
      <c r="B1" s="43"/>
      <c r="C1" s="42"/>
    </row>
    <row r="2" spans="1:3" ht="15.75" thickBot="1" x14ac:dyDescent="0.3">
      <c r="A2" s="39"/>
      <c r="B2" s="39"/>
      <c r="C2" s="41">
        <v>43830</v>
      </c>
    </row>
    <row r="3" spans="1:3" ht="21" thickBot="1" x14ac:dyDescent="0.3">
      <c r="A3" s="40"/>
      <c r="B3" s="39"/>
      <c r="C3" s="38" t="s">
        <v>78</v>
      </c>
    </row>
    <row r="4" spans="1:3" ht="15.75" x14ac:dyDescent="0.25">
      <c r="A4" s="30" t="s">
        <v>77</v>
      </c>
      <c r="B4" s="29"/>
      <c r="C4" s="37"/>
    </row>
    <row r="5" spans="1:3" x14ac:dyDescent="0.25">
      <c r="A5" s="27" t="s">
        <v>65</v>
      </c>
      <c r="B5" s="26"/>
      <c r="C5" s="36">
        <f>IF(ISERROR(C13/C22),0,C13/C22)</f>
        <v>7.3840986136055164</v>
      </c>
    </row>
    <row r="6" spans="1:3" x14ac:dyDescent="0.25">
      <c r="A6" s="27" t="s">
        <v>64</v>
      </c>
      <c r="B6" s="26"/>
      <c r="C6" s="36">
        <f>IF(ISERROR(C14/C23),0,C14/C23)</f>
        <v>2.1405191768296894</v>
      </c>
    </row>
    <row r="7" spans="1:3" x14ac:dyDescent="0.25">
      <c r="A7" s="31"/>
      <c r="B7" s="29"/>
      <c r="C7" s="28"/>
    </row>
    <row r="8" spans="1:3" ht="15.75" x14ac:dyDescent="0.25">
      <c r="A8" s="30" t="s">
        <v>76</v>
      </c>
      <c r="B8" s="29"/>
      <c r="C8" s="28"/>
    </row>
    <row r="9" spans="1:3" x14ac:dyDescent="0.25">
      <c r="A9" s="27" t="s">
        <v>75</v>
      </c>
      <c r="B9" s="26"/>
      <c r="C9" s="32">
        <v>3026606283.2535806</v>
      </c>
    </row>
    <row r="10" spans="1:3" x14ac:dyDescent="0.25">
      <c r="A10" s="27" t="s">
        <v>74</v>
      </c>
      <c r="B10" s="26"/>
      <c r="C10" s="32">
        <v>2653289160.6601963</v>
      </c>
    </row>
    <row r="11" spans="1:3" x14ac:dyDescent="0.25">
      <c r="A11" s="27" t="s">
        <v>73</v>
      </c>
      <c r="B11" s="26"/>
      <c r="C11" s="35">
        <f>C9-C10</f>
        <v>373317122.59338427</v>
      </c>
    </row>
    <row r="12" spans="1:3" x14ac:dyDescent="0.25">
      <c r="A12" s="34"/>
      <c r="B12" s="34"/>
      <c r="C12" s="33"/>
    </row>
    <row r="13" spans="1:3" x14ac:dyDescent="0.25">
      <c r="A13" s="27" t="s">
        <v>72</v>
      </c>
      <c r="B13" s="26"/>
      <c r="C13" s="25">
        <v>333626563.45958352</v>
      </c>
    </row>
    <row r="14" spans="1:3" x14ac:dyDescent="0.25">
      <c r="A14" s="27" t="s">
        <v>71</v>
      </c>
      <c r="B14" s="26"/>
      <c r="C14" s="25">
        <v>360304227.52561378</v>
      </c>
    </row>
    <row r="15" spans="1:3" x14ac:dyDescent="0.25">
      <c r="A15" s="31"/>
      <c r="B15" s="29"/>
      <c r="C15" s="28"/>
    </row>
    <row r="16" spans="1:3" ht="15.75" x14ac:dyDescent="0.25">
      <c r="A16" s="30" t="s">
        <v>70</v>
      </c>
      <c r="B16" s="29"/>
      <c r="C16" s="28"/>
    </row>
    <row r="17" spans="1:3" x14ac:dyDescent="0.25">
      <c r="A17" s="27" t="s">
        <v>69</v>
      </c>
      <c r="B17" s="26"/>
      <c r="C17" s="32">
        <f>'OF2'!E52+'OF2'!E53+'OF2'!E56+'OF2'!E57</f>
        <v>2410637433.024106</v>
      </c>
    </row>
    <row r="18" spans="1:3" x14ac:dyDescent="0.25">
      <c r="A18" s="27" t="s">
        <v>68</v>
      </c>
      <c r="B18" s="26"/>
      <c r="C18" s="32">
        <f>'OF2'!E54+'OF2'!E58</f>
        <v>61106594.066571228</v>
      </c>
    </row>
    <row r="19" spans="1:3" x14ac:dyDescent="0.25">
      <c r="A19" s="27" t="s">
        <v>67</v>
      </c>
      <c r="B19" s="26"/>
      <c r="C19" s="32">
        <f>'OF2'!E78-'OF2'!E59</f>
        <v>173356325.08142471</v>
      </c>
    </row>
    <row r="20" spans="1:3" x14ac:dyDescent="0.25">
      <c r="A20" s="31"/>
      <c r="B20" s="29"/>
      <c r="C20" s="28"/>
    </row>
    <row r="21" spans="1:3" ht="15.75" x14ac:dyDescent="0.25">
      <c r="A21" s="30" t="s">
        <v>66</v>
      </c>
      <c r="B21" s="29"/>
      <c r="C21" s="28"/>
    </row>
    <row r="22" spans="1:3" x14ac:dyDescent="0.25">
      <c r="A22" s="27" t="s">
        <v>65</v>
      </c>
      <c r="B22" s="26"/>
      <c r="C22" s="25">
        <v>45181758.927875414</v>
      </c>
    </row>
    <row r="23" spans="1:3" x14ac:dyDescent="0.25">
      <c r="A23" s="27" t="s">
        <v>64</v>
      </c>
      <c r="B23" s="26"/>
      <c r="C23" s="25">
        <v>168325624.65488318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23" t="s">
        <v>163</v>
      </c>
      <c r="B1" s="43"/>
      <c r="C1" s="43"/>
      <c r="D1" s="43"/>
      <c r="E1" s="43"/>
      <c r="F1" s="42"/>
      <c r="G1" s="43"/>
    </row>
    <row r="2" spans="1:7" ht="18" x14ac:dyDescent="0.25">
      <c r="A2" s="98"/>
      <c r="B2" s="39"/>
      <c r="C2" s="39"/>
      <c r="D2" s="39"/>
      <c r="E2" s="97"/>
      <c r="F2" s="96"/>
      <c r="G2" s="39"/>
    </row>
    <row r="3" spans="1:7" ht="20.25" x14ac:dyDescent="0.25">
      <c r="A3" s="72" t="s">
        <v>162</v>
      </c>
      <c r="B3" s="39"/>
      <c r="C3" s="39"/>
      <c r="D3" s="39"/>
      <c r="E3" s="39"/>
      <c r="F3" s="39"/>
      <c r="G3" s="39"/>
    </row>
    <row r="4" spans="1:7" ht="15.75" thickBot="1" x14ac:dyDescent="0.3">
      <c r="A4" s="39"/>
      <c r="B4" s="39"/>
      <c r="C4" s="39"/>
      <c r="D4" s="39"/>
      <c r="E4" s="213">
        <v>43830</v>
      </c>
      <c r="F4" s="213"/>
      <c r="G4" s="39"/>
    </row>
    <row r="5" spans="1:7" ht="15" customHeight="1" x14ac:dyDescent="0.25">
      <c r="A5" s="216" t="s">
        <v>161</v>
      </c>
      <c r="B5" s="39"/>
      <c r="C5" s="216" t="s">
        <v>108</v>
      </c>
      <c r="D5" s="39"/>
      <c r="E5" s="218" t="s">
        <v>78</v>
      </c>
      <c r="F5" s="219"/>
      <c r="G5" s="39"/>
    </row>
    <row r="6" spans="1:7" ht="15.75" thickBot="1" x14ac:dyDescent="0.3">
      <c r="A6" s="217"/>
      <c r="B6" s="39"/>
      <c r="C6" s="217"/>
      <c r="D6" s="39"/>
      <c r="E6" s="70" t="s">
        <v>107</v>
      </c>
      <c r="F6" s="69" t="s">
        <v>106</v>
      </c>
      <c r="G6" s="39"/>
    </row>
    <row r="7" spans="1:7" x14ac:dyDescent="0.25">
      <c r="A7" s="95"/>
      <c r="B7" s="39"/>
      <c r="C7" s="94"/>
      <c r="D7" s="39"/>
      <c r="E7" s="90"/>
      <c r="F7" s="90"/>
      <c r="G7" s="39"/>
    </row>
    <row r="8" spans="1:7" x14ac:dyDescent="0.25">
      <c r="A8" s="83" t="s">
        <v>160</v>
      </c>
      <c r="B8" s="52"/>
      <c r="C8" s="82"/>
      <c r="D8" s="52"/>
      <c r="E8" s="86"/>
      <c r="F8" s="63">
        <v>826170.04080999992</v>
      </c>
      <c r="G8" s="39"/>
    </row>
    <row r="9" spans="1:7" x14ac:dyDescent="0.25">
      <c r="A9" s="83" t="s">
        <v>159</v>
      </c>
      <c r="B9" s="52"/>
      <c r="C9" s="82"/>
      <c r="D9" s="52"/>
      <c r="E9" s="63">
        <v>117663.72465</v>
      </c>
      <c r="F9" s="63">
        <v>6426732.4812653</v>
      </c>
      <c r="G9" s="39"/>
    </row>
    <row r="10" spans="1:7" x14ac:dyDescent="0.25">
      <c r="A10" s="83" t="s">
        <v>158</v>
      </c>
      <c r="B10" s="52"/>
      <c r="C10" s="82"/>
      <c r="D10" s="52"/>
      <c r="E10" s="63">
        <v>2392664.8516424284</v>
      </c>
      <c r="F10" s="63">
        <v>2392664.8516424284</v>
      </c>
      <c r="G10" s="39"/>
    </row>
    <row r="11" spans="1:7" x14ac:dyDescent="0.25">
      <c r="A11" s="83" t="s">
        <v>157</v>
      </c>
      <c r="B11" s="52"/>
      <c r="C11" s="82"/>
      <c r="D11" s="52"/>
      <c r="E11" s="93">
        <v>8408768.5660129637</v>
      </c>
      <c r="F11" s="63">
        <v>8408768.5660129637</v>
      </c>
      <c r="G11" s="39"/>
    </row>
    <row r="12" spans="1:7" x14ac:dyDescent="0.25">
      <c r="A12" s="83" t="s">
        <v>156</v>
      </c>
      <c r="B12" s="52"/>
      <c r="C12" s="82"/>
      <c r="D12" s="52"/>
      <c r="E12" s="92"/>
      <c r="F12" s="63">
        <v>7231632.00024</v>
      </c>
      <c r="G12" s="39"/>
    </row>
    <row r="13" spans="1:7" x14ac:dyDescent="0.25">
      <c r="A13" s="83" t="s">
        <v>123</v>
      </c>
      <c r="B13" s="52"/>
      <c r="C13" s="82"/>
      <c r="D13" s="52"/>
      <c r="E13" s="63">
        <v>409262.46224999998</v>
      </c>
      <c r="F13" s="63">
        <v>409262.46224999998</v>
      </c>
      <c r="G13" s="39"/>
    </row>
    <row r="14" spans="1:7" x14ac:dyDescent="0.25">
      <c r="A14" s="83" t="s">
        <v>155</v>
      </c>
      <c r="B14" s="52"/>
      <c r="C14" s="82"/>
      <c r="D14" s="52"/>
      <c r="E14" s="85">
        <f>SUM(E15:E17)</f>
        <v>10540974.650422048</v>
      </c>
      <c r="F14" s="85">
        <f>SUM(F15:F17)</f>
        <v>14881435.115357772</v>
      </c>
      <c r="G14" s="39"/>
    </row>
    <row r="15" spans="1:7" x14ac:dyDescent="0.25">
      <c r="A15" s="88" t="s">
        <v>154</v>
      </c>
      <c r="B15" s="52"/>
      <c r="C15" s="82" t="s">
        <v>130</v>
      </c>
      <c r="D15" s="52"/>
      <c r="E15" s="63">
        <v>995499.93062626012</v>
      </c>
      <c r="F15" s="63">
        <v>1288538.89099</v>
      </c>
      <c r="G15" s="39"/>
    </row>
    <row r="16" spans="1:7" x14ac:dyDescent="0.25">
      <c r="A16" s="88" t="s">
        <v>153</v>
      </c>
      <c r="B16" s="52"/>
      <c r="C16" s="82" t="s">
        <v>125</v>
      </c>
      <c r="D16" s="52"/>
      <c r="E16" s="25">
        <f>'TP1'!N14</f>
        <v>8974817.7009762879</v>
      </c>
      <c r="F16" s="63">
        <v>10146015.919688271</v>
      </c>
      <c r="G16" s="39"/>
    </row>
    <row r="17" spans="1:7" x14ac:dyDescent="0.25">
      <c r="A17" s="88" t="s">
        <v>152</v>
      </c>
      <c r="B17" s="52"/>
      <c r="C17" s="82"/>
      <c r="D17" s="52"/>
      <c r="E17" s="63">
        <v>570657.01881949988</v>
      </c>
      <c r="F17" s="63">
        <v>3446880.3046794999</v>
      </c>
      <c r="G17" s="39"/>
    </row>
    <row r="18" spans="1:7" x14ac:dyDescent="0.25">
      <c r="A18" s="83" t="s">
        <v>151</v>
      </c>
      <c r="B18" s="52"/>
      <c r="C18" s="82" t="s">
        <v>150</v>
      </c>
      <c r="D18" s="52"/>
      <c r="E18" s="63">
        <v>121892900.45289375</v>
      </c>
      <c r="F18" s="63">
        <v>152645066.07596633</v>
      </c>
      <c r="G18" s="39"/>
    </row>
    <row r="19" spans="1:7" x14ac:dyDescent="0.25">
      <c r="A19" s="83" t="s">
        <v>149</v>
      </c>
      <c r="B19" s="52"/>
      <c r="C19" s="82" t="s">
        <v>148</v>
      </c>
      <c r="D19" s="52"/>
      <c r="E19" s="63">
        <v>16491999.714485319</v>
      </c>
      <c r="F19" s="63">
        <v>16767842.04366532</v>
      </c>
      <c r="G19" s="39"/>
    </row>
    <row r="20" spans="1:7" x14ac:dyDescent="0.25">
      <c r="A20" s="83" t="s">
        <v>147</v>
      </c>
      <c r="B20" s="52"/>
      <c r="C20" s="82" t="s">
        <v>146</v>
      </c>
      <c r="D20" s="52"/>
      <c r="E20" s="85">
        <f>SUM(E21:E29)</f>
        <v>2810425381.4684863</v>
      </c>
      <c r="F20" s="85">
        <f>SUM(F21:F29)</f>
        <v>2799951213.9378242</v>
      </c>
      <c r="G20" s="39"/>
    </row>
    <row r="21" spans="1:7" x14ac:dyDescent="0.25">
      <c r="A21" s="88" t="s">
        <v>53</v>
      </c>
      <c r="B21" s="52"/>
      <c r="C21" s="82" t="s">
        <v>146</v>
      </c>
      <c r="D21" s="52"/>
      <c r="E21" s="25">
        <f>'A1'!E14</f>
        <v>235707445.22860116</v>
      </c>
      <c r="F21" s="63">
        <v>231768390.51658615</v>
      </c>
      <c r="G21" s="39"/>
    </row>
    <row r="22" spans="1:7" x14ac:dyDescent="0.25">
      <c r="A22" s="88" t="s">
        <v>51</v>
      </c>
      <c r="B22" s="52"/>
      <c r="C22" s="82" t="s">
        <v>146</v>
      </c>
      <c r="D22" s="52"/>
      <c r="E22" s="25">
        <f>'A1'!E24</f>
        <v>235194765.84372011</v>
      </c>
      <c r="F22" s="63">
        <v>230304094.51260537</v>
      </c>
      <c r="G22" s="39"/>
    </row>
    <row r="23" spans="1:7" x14ac:dyDescent="0.25">
      <c r="A23" s="88" t="s">
        <v>49</v>
      </c>
      <c r="B23" s="52"/>
      <c r="C23" s="82" t="s">
        <v>146</v>
      </c>
      <c r="D23" s="52"/>
      <c r="E23" s="25">
        <f>'A1'!E35</f>
        <v>472618695.3006469</v>
      </c>
      <c r="F23" s="63">
        <v>473873908.64236689</v>
      </c>
      <c r="G23" s="39"/>
    </row>
    <row r="24" spans="1:7" x14ac:dyDescent="0.25">
      <c r="A24" s="88" t="s">
        <v>47</v>
      </c>
      <c r="B24" s="52"/>
      <c r="C24" s="82" t="s">
        <v>146</v>
      </c>
      <c r="D24" s="52"/>
      <c r="E24" s="25">
        <f>'A1'!E42</f>
        <v>1476854095.6603215</v>
      </c>
      <c r="F24" s="63">
        <v>1472028185.0474205</v>
      </c>
      <c r="G24" s="39"/>
    </row>
    <row r="25" spans="1:7" x14ac:dyDescent="0.25">
      <c r="A25" s="88" t="s">
        <v>45</v>
      </c>
      <c r="B25" s="52"/>
      <c r="C25" s="82" t="s">
        <v>146</v>
      </c>
      <c r="D25" s="52"/>
      <c r="E25" s="25">
        <f>'A1'!E53</f>
        <v>52900416.164158531</v>
      </c>
      <c r="F25" s="63">
        <v>52812010.12563853</v>
      </c>
      <c r="G25" s="39"/>
    </row>
    <row r="26" spans="1:7" x14ac:dyDescent="0.25">
      <c r="A26" s="88" t="s">
        <v>43</v>
      </c>
      <c r="B26" s="52"/>
      <c r="C26" s="82" t="s">
        <v>146</v>
      </c>
      <c r="D26" s="52"/>
      <c r="E26" s="25">
        <f>'A1'!E64</f>
        <v>15745987.477272768</v>
      </c>
      <c r="F26" s="63">
        <v>15694971.140252771</v>
      </c>
      <c r="G26" s="39"/>
    </row>
    <row r="27" spans="1:7" x14ac:dyDescent="0.25">
      <c r="A27" s="88" t="s">
        <v>42</v>
      </c>
      <c r="B27" s="52"/>
      <c r="C27" s="82" t="s">
        <v>146</v>
      </c>
      <c r="D27" s="52"/>
      <c r="E27" s="25">
        <f>'A1'!E75</f>
        <v>202723744.90336937</v>
      </c>
      <c r="F27" s="63">
        <v>205556915.4574191</v>
      </c>
      <c r="G27" s="39"/>
    </row>
    <row r="28" spans="1:7" x14ac:dyDescent="0.25">
      <c r="A28" s="88" t="s">
        <v>40</v>
      </c>
      <c r="B28" s="52"/>
      <c r="C28" s="82" t="s">
        <v>146</v>
      </c>
      <c r="D28" s="52"/>
      <c r="E28" s="25">
        <f>'A1'!E83</f>
        <v>79252211.930635333</v>
      </c>
      <c r="F28" s="63">
        <v>79395805.209395379</v>
      </c>
      <c r="G28" s="39"/>
    </row>
    <row r="29" spans="1:7" x14ac:dyDescent="0.25">
      <c r="A29" s="88" t="s">
        <v>38</v>
      </c>
      <c r="B29" s="52"/>
      <c r="C29" s="82" t="s">
        <v>146</v>
      </c>
      <c r="D29" s="52"/>
      <c r="E29" s="25">
        <f>'A1'!E90</f>
        <v>39428018.959760047</v>
      </c>
      <c r="F29" s="63">
        <v>38516933.28614004</v>
      </c>
      <c r="G29" s="39"/>
    </row>
    <row r="30" spans="1:7" x14ac:dyDescent="0.25">
      <c r="A30" s="83" t="s">
        <v>145</v>
      </c>
      <c r="B30" s="52"/>
      <c r="C30" s="82"/>
      <c r="D30" s="52"/>
      <c r="E30" s="85">
        <f>SUM(E31:E36)</f>
        <v>4749796.737442459</v>
      </c>
      <c r="F30" s="85">
        <f>SUM(F31:F36)</f>
        <v>4761978.228932458</v>
      </c>
      <c r="G30" s="39"/>
    </row>
    <row r="31" spans="1:7" x14ac:dyDescent="0.25">
      <c r="A31" s="88" t="s">
        <v>144</v>
      </c>
      <c r="B31" s="52"/>
      <c r="C31" s="82" t="s">
        <v>138</v>
      </c>
      <c r="D31" s="52"/>
      <c r="E31" s="63">
        <v>-175954.9052165664</v>
      </c>
      <c r="F31" s="63">
        <v>-175954.9052165664</v>
      </c>
      <c r="G31" s="39"/>
    </row>
    <row r="32" spans="1:7" x14ac:dyDescent="0.25">
      <c r="A32" s="88" t="s">
        <v>143</v>
      </c>
      <c r="B32" s="52"/>
      <c r="C32" s="82" t="s">
        <v>138</v>
      </c>
      <c r="D32" s="52"/>
      <c r="E32" s="63">
        <v>180977.56299164312</v>
      </c>
      <c r="F32" s="63">
        <v>180977.56299164312</v>
      </c>
      <c r="G32" s="39"/>
    </row>
    <row r="33" spans="1:7" x14ac:dyDescent="0.25">
      <c r="A33" s="88" t="s">
        <v>142</v>
      </c>
      <c r="B33" s="52"/>
      <c r="C33" s="82" t="s">
        <v>138</v>
      </c>
      <c r="D33" s="52"/>
      <c r="E33" s="63">
        <v>725087.90544</v>
      </c>
      <c r="F33" s="63">
        <v>725087.90544</v>
      </c>
      <c r="G33" s="39"/>
    </row>
    <row r="34" spans="1:7" x14ac:dyDescent="0.25">
      <c r="A34" s="88" t="s">
        <v>141</v>
      </c>
      <c r="B34" s="52"/>
      <c r="C34" s="82" t="s">
        <v>138</v>
      </c>
      <c r="D34" s="52"/>
      <c r="E34" s="63">
        <v>861933.81879738253</v>
      </c>
      <c r="F34" s="63">
        <v>874115.31028738176</v>
      </c>
      <c r="G34" s="39"/>
    </row>
    <row r="35" spans="1:7" x14ac:dyDescent="0.25">
      <c r="A35" s="88" t="s">
        <v>140</v>
      </c>
      <c r="B35" s="52"/>
      <c r="C35" s="82" t="s">
        <v>138</v>
      </c>
      <c r="D35" s="52"/>
      <c r="E35" s="63">
        <v>3146238.4790099999</v>
      </c>
      <c r="F35" s="63">
        <v>3146238.4790099999</v>
      </c>
      <c r="G35" s="39"/>
    </row>
    <row r="36" spans="1:7" x14ac:dyDescent="0.25">
      <c r="A36" s="88" t="s">
        <v>139</v>
      </c>
      <c r="B36" s="52"/>
      <c r="C36" s="82" t="s">
        <v>138</v>
      </c>
      <c r="D36" s="52"/>
      <c r="E36" s="63">
        <v>11513.876420000001</v>
      </c>
      <c r="F36" s="63">
        <v>11513.876420000001</v>
      </c>
      <c r="G36" s="39"/>
    </row>
    <row r="37" spans="1:7" x14ac:dyDescent="0.25">
      <c r="A37" s="83" t="s">
        <v>137</v>
      </c>
      <c r="B37" s="52"/>
      <c r="C37" s="82"/>
      <c r="D37" s="52"/>
      <c r="E37" s="85">
        <f>SUM(E38:E40)</f>
        <v>1893658.5937656236</v>
      </c>
      <c r="F37" s="85">
        <f>SUM(F38:F40)</f>
        <v>2168012.4633961702</v>
      </c>
      <c r="G37" s="39"/>
    </row>
    <row r="38" spans="1:7" x14ac:dyDescent="0.25">
      <c r="A38" s="84" t="s">
        <v>114</v>
      </c>
      <c r="B38" s="52"/>
      <c r="C38" s="82"/>
      <c r="D38" s="52"/>
      <c r="E38" s="63">
        <v>120769.07847370044</v>
      </c>
      <c r="F38" s="63">
        <v>396093.82782285963</v>
      </c>
      <c r="G38" s="39"/>
    </row>
    <row r="39" spans="1:7" x14ac:dyDescent="0.25">
      <c r="A39" s="84" t="s">
        <v>113</v>
      </c>
      <c r="B39" s="52"/>
      <c r="C39" s="82"/>
      <c r="D39" s="52"/>
      <c r="E39" s="63">
        <v>1775674.9783019233</v>
      </c>
      <c r="F39" s="63">
        <v>1774704.0985833108</v>
      </c>
      <c r="G39" s="39"/>
    </row>
    <row r="40" spans="1:7" x14ac:dyDescent="0.25">
      <c r="A40" s="84" t="s">
        <v>112</v>
      </c>
      <c r="B40" s="52"/>
      <c r="C40" s="82"/>
      <c r="D40" s="52"/>
      <c r="E40" s="63">
        <v>-2785.4630099999999</v>
      </c>
      <c r="F40" s="63">
        <v>-2785.4630099999999</v>
      </c>
      <c r="G40" s="39"/>
    </row>
    <row r="41" spans="1:7" x14ac:dyDescent="0.25">
      <c r="A41" s="83" t="s">
        <v>136</v>
      </c>
      <c r="B41" s="52"/>
      <c r="C41" s="82" t="s">
        <v>135</v>
      </c>
      <c r="D41" s="52"/>
      <c r="E41" s="63">
        <v>41849293.899082944</v>
      </c>
      <c r="F41" s="63">
        <v>47302884.359598853</v>
      </c>
      <c r="G41" s="39"/>
    </row>
    <row r="42" spans="1:7" x14ac:dyDescent="0.25">
      <c r="A42" s="83" t="s">
        <v>134</v>
      </c>
      <c r="B42" s="52"/>
      <c r="C42" s="82"/>
      <c r="D42" s="52"/>
      <c r="E42" s="63">
        <v>4125120.8349828995</v>
      </c>
      <c r="F42" s="63">
        <v>55320998.748768322</v>
      </c>
      <c r="G42" s="39"/>
    </row>
    <row r="43" spans="1:7" x14ac:dyDescent="0.25">
      <c r="A43" s="50"/>
      <c r="B43" s="52"/>
      <c r="C43" s="91"/>
      <c r="D43" s="52"/>
      <c r="E43" s="80"/>
      <c r="F43" s="89"/>
      <c r="G43" s="39"/>
    </row>
    <row r="44" spans="1:7" x14ac:dyDescent="0.25">
      <c r="A44" s="79" t="s">
        <v>75</v>
      </c>
      <c r="B44" s="39"/>
      <c r="C44" s="82"/>
      <c r="D44" s="39"/>
      <c r="E44" s="77">
        <f>SUM(E8:E14)+SUM(E18:E20)+E30+E37+SUM(E41:E42)</f>
        <v>3023297485.9561167</v>
      </c>
      <c r="F44" s="77">
        <f>SUM(F8:F14)+SUM(F18:F20)+F30+F37+SUM(F41:F42)</f>
        <v>3119494661.37573</v>
      </c>
      <c r="G44" s="39"/>
    </row>
    <row r="45" spans="1:7" x14ac:dyDescent="0.25">
      <c r="A45" s="31"/>
      <c r="B45" s="39"/>
      <c r="C45" s="39"/>
      <c r="D45" s="39"/>
      <c r="E45" s="71"/>
      <c r="F45" s="65"/>
      <c r="G45" s="39"/>
    </row>
    <row r="46" spans="1:7" ht="20.25" x14ac:dyDescent="0.25">
      <c r="A46" s="72" t="s">
        <v>133</v>
      </c>
      <c r="B46" s="39"/>
      <c r="C46" s="39"/>
      <c r="D46" s="39"/>
      <c r="E46" s="71"/>
      <c r="F46" s="71"/>
      <c r="G46" s="39"/>
    </row>
    <row r="47" spans="1:7" ht="15.75" thickBot="1" x14ac:dyDescent="0.3">
      <c r="A47" s="31"/>
      <c r="B47" s="39"/>
      <c r="C47" s="39"/>
      <c r="D47" s="39"/>
      <c r="E47" s="71"/>
      <c r="F47" s="71"/>
      <c r="G47" s="39"/>
    </row>
    <row r="48" spans="1:7" ht="15" customHeight="1" x14ac:dyDescent="0.25">
      <c r="A48" s="214" t="s">
        <v>132</v>
      </c>
      <c r="B48" s="39"/>
      <c r="C48" s="216" t="s">
        <v>108</v>
      </c>
      <c r="D48" s="39"/>
      <c r="E48" s="218" t="s">
        <v>78</v>
      </c>
      <c r="F48" s="219"/>
      <c r="G48" s="39"/>
    </row>
    <row r="49" spans="1:7" ht="15.75" thickBot="1" x14ac:dyDescent="0.3">
      <c r="A49" s="215"/>
      <c r="B49" s="39"/>
      <c r="C49" s="217"/>
      <c r="D49" s="39"/>
      <c r="E49" s="70" t="s">
        <v>107</v>
      </c>
      <c r="F49" s="69" t="s">
        <v>106</v>
      </c>
      <c r="G49" s="39"/>
    </row>
    <row r="50" spans="1:7" x14ac:dyDescent="0.25">
      <c r="A50" s="67"/>
      <c r="B50" s="39"/>
      <c r="C50" s="67"/>
      <c r="D50" s="39"/>
      <c r="E50" s="90"/>
      <c r="F50" s="65"/>
      <c r="G50" s="39"/>
    </row>
    <row r="51" spans="1:7" x14ac:dyDescent="0.25">
      <c r="A51" s="83" t="s">
        <v>131</v>
      </c>
      <c r="B51" s="52"/>
      <c r="C51" s="82"/>
      <c r="D51" s="52"/>
      <c r="E51" s="85">
        <f>SUM(E52:E54)</f>
        <v>-1373806.2985673829</v>
      </c>
      <c r="F51" s="85">
        <f>SUM(F52:F54)</f>
        <v>60641473.379914589</v>
      </c>
      <c r="G51" s="39"/>
    </row>
    <row r="52" spans="1:7" x14ac:dyDescent="0.25">
      <c r="A52" s="88" t="s">
        <v>128</v>
      </c>
      <c r="B52" s="52"/>
      <c r="C52" s="82" t="s">
        <v>130</v>
      </c>
      <c r="D52" s="52"/>
      <c r="E52" s="25">
        <v>0</v>
      </c>
      <c r="F52" s="63">
        <v>60641473.379914589</v>
      </c>
      <c r="G52" s="39"/>
    </row>
    <row r="53" spans="1:7" x14ac:dyDescent="0.25">
      <c r="A53" s="88" t="s">
        <v>127</v>
      </c>
      <c r="B53" s="52"/>
      <c r="C53" s="82" t="s">
        <v>130</v>
      </c>
      <c r="D53" s="52"/>
      <c r="E53" s="25">
        <v>-2817904.5148111163</v>
      </c>
      <c r="F53" s="89"/>
      <c r="G53" s="39"/>
    </row>
    <row r="54" spans="1:7" x14ac:dyDescent="0.25">
      <c r="A54" s="88" t="s">
        <v>126</v>
      </c>
      <c r="B54" s="52"/>
      <c r="C54" s="82" t="s">
        <v>130</v>
      </c>
      <c r="D54" s="52"/>
      <c r="E54" s="25">
        <v>1444098.2162437334</v>
      </c>
      <c r="F54" s="89"/>
      <c r="G54" s="39"/>
    </row>
    <row r="55" spans="1:7" x14ac:dyDescent="0.25">
      <c r="A55" s="87" t="s">
        <v>129</v>
      </c>
      <c r="B55" s="52"/>
      <c r="C55" s="82"/>
      <c r="D55" s="52"/>
      <c r="E55" s="85">
        <f>SUM(E56:E58)</f>
        <v>2473117833.389245</v>
      </c>
      <c r="F55" s="85">
        <f>SUM(F56:F58)</f>
        <v>2644356460.907949</v>
      </c>
      <c r="G55" s="39"/>
    </row>
    <row r="56" spans="1:7" x14ac:dyDescent="0.25">
      <c r="A56" s="88" t="s">
        <v>128</v>
      </c>
      <c r="B56" s="52"/>
      <c r="C56" s="82" t="s">
        <v>125</v>
      </c>
      <c r="D56" s="52"/>
      <c r="E56" s="25">
        <f>'TP1'!I14</f>
        <v>1001741580.9925079</v>
      </c>
      <c r="F56" s="63">
        <v>2644356460.907949</v>
      </c>
      <c r="G56" s="39"/>
    </row>
    <row r="57" spans="1:7" x14ac:dyDescent="0.25">
      <c r="A57" s="88" t="s">
        <v>127</v>
      </c>
      <c r="B57" s="52"/>
      <c r="C57" s="82" t="s">
        <v>125</v>
      </c>
      <c r="D57" s="52"/>
      <c r="E57" s="25">
        <f>'TP1'!B14</f>
        <v>1411713756.5464094</v>
      </c>
      <c r="F57" s="89"/>
      <c r="G57" s="39"/>
    </row>
    <row r="58" spans="1:7" x14ac:dyDescent="0.25">
      <c r="A58" s="88" t="s">
        <v>126</v>
      </c>
      <c r="B58" s="52"/>
      <c r="C58" s="82" t="s">
        <v>125</v>
      </c>
      <c r="D58" s="52"/>
      <c r="E58" s="25">
        <f>'TP1'!F14</f>
        <v>59662495.850327492</v>
      </c>
      <c r="F58" s="89"/>
      <c r="G58" s="39"/>
    </row>
    <row r="59" spans="1:7" x14ac:dyDescent="0.25">
      <c r="A59" s="83" t="s">
        <v>124</v>
      </c>
      <c r="B59" s="52"/>
      <c r="C59" s="82"/>
      <c r="D59" s="52"/>
      <c r="E59" s="85">
        <f>E55+E51</f>
        <v>2471744027.0906777</v>
      </c>
      <c r="F59" s="85">
        <f>F55+F51</f>
        <v>2704997934.2878637</v>
      </c>
      <c r="G59" s="39"/>
    </row>
    <row r="60" spans="1:7" x14ac:dyDescent="0.25">
      <c r="A60" s="83" t="s">
        <v>123</v>
      </c>
      <c r="B60" s="52"/>
      <c r="C60" s="82"/>
      <c r="D60" s="52"/>
      <c r="E60" s="63">
        <v>671977.37608999992</v>
      </c>
      <c r="F60" s="63">
        <v>671977.37608999992</v>
      </c>
      <c r="G60" s="39"/>
    </row>
    <row r="61" spans="1:7" x14ac:dyDescent="0.25">
      <c r="A61" s="83" t="s">
        <v>122</v>
      </c>
      <c r="B61" s="52"/>
      <c r="C61" s="82"/>
      <c r="D61" s="52"/>
      <c r="E61" s="63">
        <v>9601126.7715699989</v>
      </c>
      <c r="F61" s="63">
        <v>13226406.556359999</v>
      </c>
      <c r="G61" s="39"/>
    </row>
    <row r="62" spans="1:7" x14ac:dyDescent="0.25">
      <c r="A62" s="83" t="s">
        <v>121</v>
      </c>
      <c r="B62" s="52"/>
      <c r="C62" s="82"/>
      <c r="D62" s="52"/>
      <c r="E62" s="63">
        <v>0</v>
      </c>
      <c r="F62" s="63">
        <v>0</v>
      </c>
      <c r="G62" s="39"/>
    </row>
    <row r="63" spans="1:7" x14ac:dyDescent="0.25">
      <c r="A63" s="83" t="s">
        <v>86</v>
      </c>
      <c r="B63" s="52"/>
      <c r="C63" s="82"/>
      <c r="D63" s="52"/>
      <c r="E63" s="85">
        <f>SUM(E64:E66)</f>
        <v>294</v>
      </c>
      <c r="F63" s="85">
        <f>SUM(F64:F66)</f>
        <v>19812346.76884</v>
      </c>
      <c r="G63" s="39"/>
    </row>
    <row r="64" spans="1:7" x14ac:dyDescent="0.25">
      <c r="A64" s="88" t="s">
        <v>85</v>
      </c>
      <c r="B64" s="52"/>
      <c r="C64" s="82"/>
      <c r="D64" s="52"/>
      <c r="E64" s="63">
        <v>294</v>
      </c>
      <c r="F64" s="63">
        <v>19807346.76884</v>
      </c>
      <c r="G64" s="39"/>
    </row>
    <row r="65" spans="1:7" x14ac:dyDescent="0.25">
      <c r="A65" s="88" t="s">
        <v>84</v>
      </c>
      <c r="B65" s="52"/>
      <c r="C65" s="82"/>
      <c r="D65" s="52"/>
      <c r="E65" s="63">
        <v>0</v>
      </c>
      <c r="F65" s="63">
        <v>5000</v>
      </c>
      <c r="G65" s="39"/>
    </row>
    <row r="66" spans="1:7" x14ac:dyDescent="0.25">
      <c r="A66" s="88" t="s">
        <v>83</v>
      </c>
      <c r="B66" s="52"/>
      <c r="C66" s="82"/>
      <c r="D66" s="52"/>
      <c r="E66" s="63">
        <v>0</v>
      </c>
      <c r="F66" s="63">
        <v>0</v>
      </c>
      <c r="G66" s="39"/>
    </row>
    <row r="67" spans="1:7" x14ac:dyDescent="0.25">
      <c r="A67" s="83" t="s">
        <v>120</v>
      </c>
      <c r="B67" s="52"/>
      <c r="C67" s="82"/>
      <c r="D67" s="52"/>
      <c r="E67" s="63">
        <v>0</v>
      </c>
      <c r="F67" s="63">
        <v>0</v>
      </c>
      <c r="G67" s="39"/>
    </row>
    <row r="68" spans="1:7" x14ac:dyDescent="0.25">
      <c r="A68" s="83" t="s">
        <v>119</v>
      </c>
      <c r="B68" s="52"/>
      <c r="C68" s="82"/>
      <c r="D68" s="52"/>
      <c r="E68" s="63">
        <v>5235427.6812518435</v>
      </c>
      <c r="F68" s="63">
        <v>5235427.6812518435</v>
      </c>
      <c r="G68" s="39"/>
    </row>
    <row r="69" spans="1:7" x14ac:dyDescent="0.25">
      <c r="A69" s="83" t="s">
        <v>118</v>
      </c>
      <c r="B69" s="52"/>
      <c r="C69" s="82"/>
      <c r="D69" s="52"/>
      <c r="E69" s="63">
        <v>26763836.873603258</v>
      </c>
      <c r="F69" s="63">
        <v>26853717.56718326</v>
      </c>
      <c r="G69" s="39"/>
    </row>
    <row r="70" spans="1:7" x14ac:dyDescent="0.25">
      <c r="A70" s="87" t="s">
        <v>117</v>
      </c>
      <c r="B70" s="52"/>
      <c r="C70" s="82"/>
      <c r="D70" s="52"/>
      <c r="E70" s="63">
        <v>0</v>
      </c>
      <c r="F70" s="86"/>
      <c r="G70" s="39"/>
    </row>
    <row r="71" spans="1:7" x14ac:dyDescent="0.25">
      <c r="A71" s="83" t="s">
        <v>116</v>
      </c>
      <c r="B71" s="52"/>
      <c r="C71" s="82"/>
      <c r="D71" s="52"/>
      <c r="E71" s="63">
        <v>2688217.82127405</v>
      </c>
      <c r="F71" s="63">
        <v>2708791.99412983</v>
      </c>
      <c r="G71" s="39"/>
    </row>
    <row r="72" spans="1:7" x14ac:dyDescent="0.25">
      <c r="A72" s="83" t="s">
        <v>115</v>
      </c>
      <c r="B72" s="52"/>
      <c r="C72" s="82"/>
      <c r="D72" s="52"/>
      <c r="E72" s="85">
        <f>SUM(E73:E75)</f>
        <v>64081350.62820778</v>
      </c>
      <c r="F72" s="85">
        <f>SUM(F73:F75)</f>
        <v>18661391.700577453</v>
      </c>
      <c r="G72" s="39"/>
    </row>
    <row r="73" spans="1:7" x14ac:dyDescent="0.25">
      <c r="A73" s="84" t="s">
        <v>114</v>
      </c>
      <c r="B73" s="52"/>
      <c r="C73" s="82"/>
      <c r="D73" s="52"/>
      <c r="E73" s="63">
        <v>2483836.6346592382</v>
      </c>
      <c r="F73" s="63">
        <v>302822.73995704856</v>
      </c>
      <c r="G73" s="39"/>
    </row>
    <row r="74" spans="1:7" x14ac:dyDescent="0.25">
      <c r="A74" s="84" t="s">
        <v>113</v>
      </c>
      <c r="B74" s="52"/>
      <c r="C74" s="82"/>
      <c r="D74" s="52"/>
      <c r="E74" s="63">
        <v>60039261.060145982</v>
      </c>
      <c r="F74" s="63">
        <v>16800316.027217843</v>
      </c>
      <c r="G74" s="39"/>
    </row>
    <row r="75" spans="1:7" x14ac:dyDescent="0.25">
      <c r="A75" s="84" t="s">
        <v>112</v>
      </c>
      <c r="B75" s="52"/>
      <c r="C75" s="82"/>
      <c r="D75" s="52"/>
      <c r="E75" s="63">
        <v>1558252.93340256</v>
      </c>
      <c r="F75" s="63">
        <v>1558252.93340256</v>
      </c>
      <c r="G75" s="39"/>
    </row>
    <row r="76" spans="1:7" x14ac:dyDescent="0.25">
      <c r="A76" s="83" t="s">
        <v>67</v>
      </c>
      <c r="B76" s="52"/>
      <c r="C76" s="82"/>
      <c r="D76" s="52"/>
      <c r="E76" s="63">
        <v>64314093.929427929</v>
      </c>
      <c r="F76" s="63">
        <v>65210698.065149702</v>
      </c>
      <c r="G76" s="39"/>
    </row>
    <row r="77" spans="1:7" x14ac:dyDescent="0.25">
      <c r="A77" s="50"/>
      <c r="B77" s="52"/>
      <c r="C77" s="81"/>
      <c r="D77" s="52"/>
      <c r="E77" s="80"/>
      <c r="F77" s="80"/>
      <c r="G77" s="39"/>
    </row>
    <row r="78" spans="1:7" x14ac:dyDescent="0.25">
      <c r="A78" s="79" t="s">
        <v>74</v>
      </c>
      <c r="B78" s="39"/>
      <c r="C78" s="78"/>
      <c r="D78" s="39"/>
      <c r="E78" s="77">
        <f>E59+SUM(E60:E61)+E62+E63+SUM(E67:E72)+E76</f>
        <v>2645100352.1721025</v>
      </c>
      <c r="F78" s="77">
        <f>F59+SUM(F60:F61)+F62+F63+SUM(F67:F72)+F76</f>
        <v>2857378691.9974456</v>
      </c>
      <c r="G78" s="39"/>
    </row>
    <row r="79" spans="1:7" ht="15.75" thickBot="1" x14ac:dyDescent="0.3">
      <c r="A79" s="76"/>
      <c r="B79" s="39"/>
      <c r="C79" s="39"/>
      <c r="D79" s="39"/>
      <c r="E79" s="75"/>
      <c r="F79" s="74"/>
      <c r="G79" s="39"/>
    </row>
    <row r="80" spans="1:7" ht="16.5" thickBot="1" x14ac:dyDescent="0.3">
      <c r="A80" s="48" t="s">
        <v>111</v>
      </c>
      <c r="B80" s="46"/>
      <c r="C80" s="47"/>
      <c r="D80" s="46"/>
      <c r="E80" s="73">
        <f>E44-E78</f>
        <v>378197133.78401423</v>
      </c>
      <c r="F80" s="44">
        <f>F44-F78</f>
        <v>262115969.37828445</v>
      </c>
      <c r="G80" s="39"/>
    </row>
    <row r="81" spans="1:7" x14ac:dyDescent="0.25">
      <c r="A81" s="31"/>
      <c r="B81" s="39"/>
      <c r="C81" s="39"/>
      <c r="D81" s="39"/>
      <c r="E81" s="71"/>
      <c r="F81" s="65"/>
      <c r="G81" s="39"/>
    </row>
    <row r="82" spans="1:7" ht="20.25" x14ac:dyDescent="0.25">
      <c r="A82" s="72" t="s">
        <v>110</v>
      </c>
      <c r="B82" s="39"/>
      <c r="C82" s="39"/>
      <c r="D82" s="39"/>
      <c r="E82" s="71"/>
      <c r="F82" s="71"/>
      <c r="G82" s="39"/>
    </row>
    <row r="83" spans="1:7" ht="15.75" thickBot="1" x14ac:dyDescent="0.3">
      <c r="A83" s="31"/>
      <c r="B83" s="39"/>
      <c r="C83" s="39"/>
      <c r="D83" s="39"/>
      <c r="E83" s="71"/>
      <c r="F83" s="71"/>
      <c r="G83" s="39"/>
    </row>
    <row r="84" spans="1:7" ht="15" customHeight="1" x14ac:dyDescent="0.25">
      <c r="A84" s="214" t="s">
        <v>109</v>
      </c>
      <c r="B84" s="39"/>
      <c r="C84" s="216" t="s">
        <v>108</v>
      </c>
      <c r="D84" s="39"/>
      <c r="E84" s="218" t="s">
        <v>78</v>
      </c>
      <c r="F84" s="219"/>
      <c r="G84" s="39"/>
    </row>
    <row r="85" spans="1:7" ht="15.75" thickBot="1" x14ac:dyDescent="0.3">
      <c r="A85" s="215"/>
      <c r="B85" s="39"/>
      <c r="C85" s="217"/>
      <c r="D85" s="39"/>
      <c r="E85" s="70" t="s">
        <v>107</v>
      </c>
      <c r="F85" s="69" t="s">
        <v>106</v>
      </c>
      <c r="G85" s="39"/>
    </row>
    <row r="86" spans="1:7" x14ac:dyDescent="0.25">
      <c r="A86" s="68"/>
      <c r="B86" s="39"/>
      <c r="C86" s="67"/>
      <c r="D86" s="39"/>
      <c r="E86" s="66"/>
      <c r="F86" s="65"/>
      <c r="G86" s="39"/>
    </row>
    <row r="87" spans="1:7" x14ac:dyDescent="0.25">
      <c r="A87" s="54" t="s">
        <v>105</v>
      </c>
      <c r="B87" s="52"/>
      <c r="C87" s="53"/>
      <c r="D87" s="52"/>
      <c r="E87" s="59">
        <f>SUM(E88:E89)</f>
        <v>1023571.2125700001</v>
      </c>
      <c r="F87" s="59">
        <f>SUM(F88:F89)</f>
        <v>1023571.1325700001</v>
      </c>
      <c r="G87" s="39"/>
    </row>
    <row r="88" spans="1:7" x14ac:dyDescent="0.25">
      <c r="A88" s="55" t="s">
        <v>103</v>
      </c>
      <c r="B88" s="52"/>
      <c r="C88" s="61"/>
      <c r="D88" s="52"/>
      <c r="E88" s="51">
        <v>1023571.2125700001</v>
      </c>
      <c r="F88" s="51">
        <v>1023571.1325700001</v>
      </c>
      <c r="G88" s="39"/>
    </row>
    <row r="89" spans="1:7" x14ac:dyDescent="0.25">
      <c r="A89" s="55" t="s">
        <v>102</v>
      </c>
      <c r="B89" s="52"/>
      <c r="C89" s="61"/>
      <c r="D89" s="52"/>
      <c r="E89" s="51">
        <v>0</v>
      </c>
      <c r="F89" s="51">
        <v>0</v>
      </c>
      <c r="G89" s="39"/>
    </row>
    <row r="90" spans="1:7" x14ac:dyDescent="0.25">
      <c r="A90" s="54" t="s">
        <v>104</v>
      </c>
      <c r="B90" s="52"/>
      <c r="C90" s="53"/>
      <c r="D90" s="52"/>
      <c r="E90" s="59">
        <f>SUM(E91:E93)</f>
        <v>0</v>
      </c>
      <c r="F90" s="59">
        <f>SUM(F91:F93)</f>
        <v>0</v>
      </c>
      <c r="G90" s="39"/>
    </row>
    <row r="91" spans="1:7" x14ac:dyDescent="0.25">
      <c r="A91" s="55" t="s">
        <v>103</v>
      </c>
      <c r="B91" s="52"/>
      <c r="C91" s="53"/>
      <c r="D91" s="52"/>
      <c r="E91" s="51">
        <v>0</v>
      </c>
      <c r="F91" s="51">
        <v>0</v>
      </c>
      <c r="G91" s="39"/>
    </row>
    <row r="92" spans="1:7" x14ac:dyDescent="0.25">
      <c r="A92" s="55" t="s">
        <v>102</v>
      </c>
      <c r="B92" s="52"/>
      <c r="C92" s="53"/>
      <c r="D92" s="52"/>
      <c r="E92" s="51">
        <v>0</v>
      </c>
      <c r="F92" s="51">
        <v>0</v>
      </c>
      <c r="G92" s="39"/>
    </row>
    <row r="93" spans="1:7" x14ac:dyDescent="0.25">
      <c r="A93" s="55" t="s">
        <v>101</v>
      </c>
      <c r="B93" s="52"/>
      <c r="C93" s="53"/>
      <c r="D93" s="52"/>
      <c r="E93" s="51">
        <v>0</v>
      </c>
      <c r="F93" s="51">
        <v>0</v>
      </c>
      <c r="G93" s="39"/>
    </row>
    <row r="94" spans="1:7" x14ac:dyDescent="0.25">
      <c r="A94" s="54" t="s">
        <v>100</v>
      </c>
      <c r="B94" s="52"/>
      <c r="C94" s="53"/>
      <c r="D94" s="52"/>
      <c r="E94" s="51">
        <v>17719797.142200001</v>
      </c>
      <c r="F94" s="51">
        <v>17708079.361200001</v>
      </c>
      <c r="G94" s="39"/>
    </row>
    <row r="95" spans="1:7" x14ac:dyDescent="0.25">
      <c r="A95" s="54" t="s">
        <v>99</v>
      </c>
      <c r="B95" s="52"/>
      <c r="C95" s="53"/>
      <c r="D95" s="52"/>
      <c r="E95" s="51">
        <v>55660.472630000004</v>
      </c>
      <c r="F95" s="51">
        <v>55660.472630000004</v>
      </c>
      <c r="G95" s="39"/>
    </row>
    <row r="96" spans="1:7" x14ac:dyDescent="0.25">
      <c r="A96" s="27" t="s">
        <v>98</v>
      </c>
      <c r="B96" s="52"/>
      <c r="C96" s="60"/>
      <c r="D96" s="52"/>
      <c r="E96" s="51">
        <v>229049110.20579392</v>
      </c>
      <c r="F96" s="51">
        <v>230569221.73026785</v>
      </c>
      <c r="G96" s="39"/>
    </row>
    <row r="97" spans="1:7" x14ac:dyDescent="0.25">
      <c r="A97" s="54" t="s">
        <v>97</v>
      </c>
      <c r="B97" s="52"/>
      <c r="C97" s="53"/>
      <c r="D97" s="52"/>
      <c r="E97" s="51">
        <v>11846803.311298352</v>
      </c>
      <c r="F97" s="51">
        <v>11846803.311298352</v>
      </c>
      <c r="G97" s="39"/>
    </row>
    <row r="98" spans="1:7" x14ac:dyDescent="0.25">
      <c r="A98" s="54" t="s">
        <v>96</v>
      </c>
      <c r="B98" s="52"/>
      <c r="C98" s="53"/>
      <c r="D98" s="52"/>
      <c r="E98" s="64">
        <f>E99+E100+E102+E103+E104</f>
        <v>-150901715.14983487</v>
      </c>
      <c r="F98" s="56"/>
      <c r="G98" s="39"/>
    </row>
    <row r="99" spans="1:7" x14ac:dyDescent="0.25">
      <c r="A99" s="55" t="s">
        <v>95</v>
      </c>
      <c r="B99" s="52"/>
      <c r="C99" s="61"/>
      <c r="D99" s="52"/>
      <c r="E99" s="63">
        <v>-50328172.843280934</v>
      </c>
      <c r="F99" s="56"/>
      <c r="G99" s="39"/>
    </row>
    <row r="100" spans="1:7" x14ac:dyDescent="0.25">
      <c r="A100" s="55" t="s">
        <v>94</v>
      </c>
      <c r="B100" s="52"/>
      <c r="C100" s="61"/>
      <c r="D100" s="52"/>
      <c r="E100" s="62">
        <v>183732366.41819364</v>
      </c>
      <c r="F100" s="56"/>
      <c r="G100" s="39"/>
    </row>
    <row r="101" spans="1:7" x14ac:dyDescent="0.25">
      <c r="A101" s="55" t="s">
        <v>93</v>
      </c>
      <c r="B101" s="52"/>
      <c r="C101" s="61"/>
      <c r="D101" s="52"/>
      <c r="E101" s="56"/>
      <c r="F101" s="51">
        <v>0</v>
      </c>
      <c r="G101" s="39"/>
    </row>
    <row r="102" spans="1:7" x14ac:dyDescent="0.25">
      <c r="A102" s="55" t="s">
        <v>92</v>
      </c>
      <c r="B102" s="52"/>
      <c r="C102" s="61"/>
      <c r="D102" s="52"/>
      <c r="E102" s="59">
        <f>-E105</f>
        <v>-243916060.60104132</v>
      </c>
      <c r="F102" s="56"/>
      <c r="G102" s="39"/>
    </row>
    <row r="103" spans="1:7" x14ac:dyDescent="0.25">
      <c r="A103" s="55" t="s">
        <v>91</v>
      </c>
      <c r="B103" s="52"/>
      <c r="C103" s="61"/>
      <c r="D103" s="52"/>
      <c r="E103" s="51">
        <v>-37897858.188297272</v>
      </c>
      <c r="F103" s="56"/>
      <c r="G103" s="39"/>
    </row>
    <row r="104" spans="1:7" x14ac:dyDescent="0.25">
      <c r="A104" s="55" t="s">
        <v>90</v>
      </c>
      <c r="B104" s="52"/>
      <c r="C104" s="61"/>
      <c r="D104" s="52"/>
      <c r="E104" s="51">
        <v>-2491989.935408988</v>
      </c>
      <c r="F104" s="56"/>
      <c r="G104" s="39"/>
    </row>
    <row r="105" spans="1:7" x14ac:dyDescent="0.25">
      <c r="A105" s="54" t="s">
        <v>89</v>
      </c>
      <c r="B105" s="52"/>
      <c r="C105" s="53"/>
      <c r="D105" s="52"/>
      <c r="E105" s="51">
        <v>243916060.60104132</v>
      </c>
      <c r="F105" s="56"/>
      <c r="G105" s="39"/>
    </row>
    <row r="106" spans="1:7" x14ac:dyDescent="0.25">
      <c r="A106" s="54" t="s">
        <v>88</v>
      </c>
      <c r="B106" s="52"/>
      <c r="C106" s="53"/>
      <c r="D106" s="52"/>
      <c r="E106" s="59">
        <f>E107+E111+E115</f>
        <v>20341134.76884</v>
      </c>
      <c r="F106" s="59">
        <f>F107+F111+F115</f>
        <v>500000</v>
      </c>
      <c r="G106" s="39"/>
    </row>
    <row r="107" spans="1:7" x14ac:dyDescent="0.25">
      <c r="A107" s="55" t="s">
        <v>87</v>
      </c>
      <c r="B107" s="52"/>
      <c r="C107" s="53"/>
      <c r="D107" s="52"/>
      <c r="E107" s="59">
        <f>SUM(E108:E110)</f>
        <v>505000</v>
      </c>
      <c r="F107" s="59">
        <f>SUM(F108:F110)</f>
        <v>500000</v>
      </c>
      <c r="G107" s="39"/>
    </row>
    <row r="108" spans="1:7" x14ac:dyDescent="0.25">
      <c r="A108" s="58" t="s">
        <v>85</v>
      </c>
      <c r="B108" s="52"/>
      <c r="C108" s="61"/>
      <c r="D108" s="52"/>
      <c r="E108" s="51">
        <v>0</v>
      </c>
      <c r="F108" s="51">
        <v>0</v>
      </c>
      <c r="G108" s="39"/>
    </row>
    <row r="109" spans="1:7" x14ac:dyDescent="0.25">
      <c r="A109" s="58" t="s">
        <v>84</v>
      </c>
      <c r="B109" s="52"/>
      <c r="C109" s="61"/>
      <c r="D109" s="52"/>
      <c r="E109" s="51">
        <v>505000</v>
      </c>
      <c r="F109" s="51">
        <v>500000</v>
      </c>
      <c r="G109" s="39"/>
    </row>
    <row r="110" spans="1:7" x14ac:dyDescent="0.25">
      <c r="A110" s="58" t="s">
        <v>83</v>
      </c>
      <c r="B110" s="52"/>
      <c r="C110" s="61"/>
      <c r="D110" s="52"/>
      <c r="E110" s="51">
        <v>0</v>
      </c>
      <c r="F110" s="51">
        <v>0</v>
      </c>
      <c r="G110" s="39"/>
    </row>
    <row r="111" spans="1:7" x14ac:dyDescent="0.25">
      <c r="A111" s="55" t="s">
        <v>86</v>
      </c>
      <c r="B111" s="52"/>
      <c r="C111" s="60"/>
      <c r="D111" s="52"/>
      <c r="E111" s="59">
        <f>SUM(E112:E114)</f>
        <v>19836134.76884</v>
      </c>
      <c r="F111" s="56"/>
      <c r="G111" s="39"/>
    </row>
    <row r="112" spans="1:7" x14ac:dyDescent="0.25">
      <c r="A112" s="58" t="s">
        <v>85</v>
      </c>
      <c r="B112" s="52"/>
      <c r="C112" s="57"/>
      <c r="D112" s="52"/>
      <c r="E112" s="51">
        <v>19776134.76884</v>
      </c>
      <c r="F112" s="56"/>
      <c r="G112" s="39"/>
    </row>
    <row r="113" spans="1:7" x14ac:dyDescent="0.25">
      <c r="A113" s="58" t="s">
        <v>84</v>
      </c>
      <c r="B113" s="52"/>
      <c r="C113" s="57"/>
      <c r="D113" s="52"/>
      <c r="E113" s="51">
        <v>0</v>
      </c>
      <c r="F113" s="56"/>
      <c r="G113" s="39"/>
    </row>
    <row r="114" spans="1:7" x14ac:dyDescent="0.25">
      <c r="A114" s="58" t="s">
        <v>83</v>
      </c>
      <c r="B114" s="52"/>
      <c r="C114" s="57"/>
      <c r="D114" s="52"/>
      <c r="E114" s="51">
        <v>60000</v>
      </c>
      <c r="F114" s="56"/>
      <c r="G114" s="39"/>
    </row>
    <row r="115" spans="1:7" x14ac:dyDescent="0.25">
      <c r="A115" s="55" t="s">
        <v>82</v>
      </c>
      <c r="B115" s="52"/>
      <c r="C115" s="53"/>
      <c r="D115" s="52"/>
      <c r="E115" s="51">
        <v>0</v>
      </c>
      <c r="F115" s="51">
        <v>0</v>
      </c>
      <c r="G115" s="39"/>
    </row>
    <row r="116" spans="1:7" x14ac:dyDescent="0.25">
      <c r="A116" s="54" t="s">
        <v>81</v>
      </c>
      <c r="B116" s="52"/>
      <c r="C116" s="53"/>
      <c r="D116" s="52"/>
      <c r="E116" s="51">
        <v>0</v>
      </c>
      <c r="F116" s="51">
        <v>0</v>
      </c>
      <c r="G116" s="39"/>
    </row>
    <row r="117" spans="1:7" ht="15.75" thickBot="1" x14ac:dyDescent="0.3">
      <c r="A117" s="50"/>
      <c r="B117" s="39"/>
      <c r="C117" s="50"/>
      <c r="D117" s="39"/>
      <c r="E117" s="49"/>
      <c r="F117" s="49"/>
      <c r="G117" s="39"/>
    </row>
    <row r="118" spans="1:7" ht="16.5" thickBot="1" x14ac:dyDescent="0.3">
      <c r="A118" s="48" t="s">
        <v>80</v>
      </c>
      <c r="B118" s="46"/>
      <c r="C118" s="47"/>
      <c r="D118" s="46"/>
      <c r="E118" s="45">
        <f>E87+E90+SUM(E94:E98)+SUM(E105:E106)+E116</f>
        <v>373050422.56453872</v>
      </c>
      <c r="F118" s="44">
        <f>F87+F90+SUM(F94:F97)+F101+SUM(F105:F106)+F116</f>
        <v>261703336.00796619</v>
      </c>
      <c r="G118" s="39"/>
    </row>
    <row r="119" spans="1:7" x14ac:dyDescent="0.25">
      <c r="A119" s="31"/>
      <c r="B119" s="39"/>
      <c r="C119" s="39"/>
      <c r="D119" s="39"/>
      <c r="E119" s="39"/>
      <c r="F119" s="34"/>
      <c r="G119" s="39"/>
    </row>
    <row r="120" spans="1:7" x14ac:dyDescent="0.25">
      <c r="A120" s="39"/>
      <c r="B120" s="39"/>
      <c r="C120" s="39"/>
      <c r="D120" s="39"/>
      <c r="E120" s="39"/>
      <c r="F120" s="34"/>
      <c r="G120" s="39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5" x14ac:dyDescent="0.25"/>
  <cols>
    <col min="1" max="1" width="82.42578125" bestFit="1" customWidth="1"/>
    <col min="3" max="3" width="11.7109375" bestFit="1" customWidth="1"/>
    <col min="5" max="5" width="14.28515625" bestFit="1" customWidth="1"/>
  </cols>
  <sheetData>
    <row r="1" spans="1:5" ht="21" thickBot="1" x14ac:dyDescent="0.3">
      <c r="A1" s="23" t="s">
        <v>174</v>
      </c>
      <c r="B1" s="119"/>
      <c r="C1" s="118"/>
      <c r="D1" s="119"/>
      <c r="E1" s="118"/>
    </row>
    <row r="2" spans="1:5" ht="15.75" thickBot="1" x14ac:dyDescent="0.3">
      <c r="A2" s="100"/>
      <c r="B2" s="100"/>
      <c r="C2" s="117"/>
      <c r="D2" s="100"/>
      <c r="E2" s="116">
        <v>43830</v>
      </c>
    </row>
    <row r="3" spans="1:5" ht="30.75" thickBot="1" x14ac:dyDescent="0.3">
      <c r="A3" s="115" t="s">
        <v>173</v>
      </c>
      <c r="B3" s="100"/>
      <c r="C3" s="114" t="s">
        <v>108</v>
      </c>
      <c r="D3" s="100"/>
      <c r="E3" s="113" t="s">
        <v>78</v>
      </c>
    </row>
    <row r="4" spans="1:5" x14ac:dyDescent="0.25">
      <c r="A4" s="112"/>
      <c r="B4" s="100"/>
      <c r="C4" s="112"/>
      <c r="D4" s="100"/>
      <c r="E4" s="112"/>
    </row>
    <row r="5" spans="1:5" x14ac:dyDescent="0.25">
      <c r="A5" s="105" t="s">
        <v>172</v>
      </c>
      <c r="B5" s="100"/>
      <c r="C5" s="111"/>
      <c r="D5" s="100"/>
      <c r="E5" s="104">
        <f>SUM(E9:E10,E15)</f>
        <v>789878829.35404682</v>
      </c>
    </row>
    <row r="6" spans="1:5" x14ac:dyDescent="0.25">
      <c r="A6" s="103"/>
      <c r="B6" s="34"/>
      <c r="C6" s="34"/>
      <c r="D6" s="34"/>
      <c r="E6" s="89"/>
    </row>
    <row r="7" spans="1:5" x14ac:dyDescent="0.25">
      <c r="A7" s="102" t="s">
        <v>54</v>
      </c>
      <c r="B7" s="106"/>
      <c r="C7" s="107"/>
      <c r="D7" s="106"/>
      <c r="E7" s="99">
        <v>530321530.81753844</v>
      </c>
    </row>
    <row r="8" spans="1:5" x14ac:dyDescent="0.25">
      <c r="A8" s="102" t="s">
        <v>52</v>
      </c>
      <c r="B8" s="106"/>
      <c r="C8" s="107"/>
      <c r="D8" s="106"/>
      <c r="E8" s="99">
        <v>21711589.072722457</v>
      </c>
    </row>
    <row r="9" spans="1:5" x14ac:dyDescent="0.25">
      <c r="A9" s="102" t="s">
        <v>50</v>
      </c>
      <c r="B9" s="106"/>
      <c r="C9" s="107"/>
      <c r="D9" s="106"/>
      <c r="E9" s="109">
        <f>E7-E8</f>
        <v>508609941.74481601</v>
      </c>
    </row>
    <row r="10" spans="1:5" x14ac:dyDescent="0.25">
      <c r="A10" s="102" t="s">
        <v>48</v>
      </c>
      <c r="B10" s="106"/>
      <c r="C10" s="107"/>
      <c r="D10" s="106"/>
      <c r="E10" s="109">
        <f>SUM(E11:E14)</f>
        <v>268283152.46757573</v>
      </c>
    </row>
    <row r="11" spans="1:5" x14ac:dyDescent="0.25">
      <c r="A11" s="110" t="s">
        <v>171</v>
      </c>
      <c r="B11" s="106"/>
      <c r="C11" s="107"/>
      <c r="D11" s="106"/>
      <c r="E11" s="99">
        <v>128614300.79904425</v>
      </c>
    </row>
    <row r="12" spans="1:5" x14ac:dyDescent="0.25">
      <c r="A12" s="110" t="s">
        <v>170</v>
      </c>
      <c r="B12" s="106"/>
      <c r="C12" s="107"/>
      <c r="D12" s="106"/>
      <c r="E12" s="99">
        <v>46046050.847072206</v>
      </c>
    </row>
    <row r="13" spans="1:5" x14ac:dyDescent="0.25">
      <c r="A13" s="110" t="s">
        <v>169</v>
      </c>
      <c r="B13" s="106"/>
      <c r="C13" s="107"/>
      <c r="D13" s="106"/>
      <c r="E13" s="99">
        <v>62669625.139051013</v>
      </c>
    </row>
    <row r="14" spans="1:5" x14ac:dyDescent="0.25">
      <c r="A14" s="110" t="s">
        <v>168</v>
      </c>
      <c r="B14" s="106"/>
      <c r="C14" s="107"/>
      <c r="D14" s="106"/>
      <c r="E14" s="99">
        <v>30953175.682408229</v>
      </c>
    </row>
    <row r="15" spans="1:5" x14ac:dyDescent="0.25">
      <c r="A15" s="102" t="s">
        <v>46</v>
      </c>
      <c r="B15" s="106"/>
      <c r="C15" s="107"/>
      <c r="D15" s="106"/>
      <c r="E15" s="109">
        <f>SUM(E16:E18)</f>
        <v>12985735.141655063</v>
      </c>
    </row>
    <row r="16" spans="1:5" x14ac:dyDescent="0.25">
      <c r="A16" s="108"/>
      <c r="B16" s="106"/>
      <c r="C16" s="107"/>
      <c r="D16" s="106"/>
      <c r="E16" s="99">
        <v>11190792.115875153</v>
      </c>
    </row>
    <row r="17" spans="1:5" x14ac:dyDescent="0.25">
      <c r="A17" s="108"/>
      <c r="B17" s="106"/>
      <c r="C17" s="107"/>
      <c r="D17" s="106"/>
      <c r="E17" s="99">
        <v>1135740.0915899104</v>
      </c>
    </row>
    <row r="18" spans="1:5" x14ac:dyDescent="0.25">
      <c r="A18" s="108"/>
      <c r="B18" s="106"/>
      <c r="C18" s="107"/>
      <c r="D18" s="106"/>
      <c r="E18" s="99">
        <v>659202.93418999994</v>
      </c>
    </row>
    <row r="19" spans="1:5" x14ac:dyDescent="0.25">
      <c r="A19" s="103"/>
      <c r="B19" s="34"/>
      <c r="C19" s="34"/>
      <c r="D19" s="34"/>
      <c r="E19" s="89"/>
    </row>
    <row r="20" spans="1:5" x14ac:dyDescent="0.25">
      <c r="A20" s="105" t="s">
        <v>167</v>
      </c>
      <c r="B20" s="100"/>
      <c r="C20" s="101"/>
      <c r="D20" s="100"/>
      <c r="E20" s="104">
        <f>SUM(E24:E30)</f>
        <v>748493818.56857514</v>
      </c>
    </row>
    <row r="21" spans="1:5" x14ac:dyDescent="0.25">
      <c r="A21" s="103"/>
      <c r="B21" s="34"/>
      <c r="C21" s="34"/>
      <c r="D21" s="34"/>
      <c r="E21" s="89"/>
    </row>
    <row r="22" spans="1:5" x14ac:dyDescent="0.25">
      <c r="A22" s="102" t="s">
        <v>39</v>
      </c>
      <c r="B22" s="106"/>
      <c r="C22" s="107"/>
      <c r="D22" s="106"/>
      <c r="E22" s="99">
        <v>491060335.27448863</v>
      </c>
    </row>
    <row r="23" spans="1:5" x14ac:dyDescent="0.25">
      <c r="A23" s="102" t="s">
        <v>166</v>
      </c>
      <c r="B23" s="106"/>
      <c r="C23" s="107"/>
      <c r="D23" s="106"/>
      <c r="E23" s="99">
        <v>26457069.476482131</v>
      </c>
    </row>
    <row r="24" spans="1:5" x14ac:dyDescent="0.25">
      <c r="A24" s="102" t="s">
        <v>35</v>
      </c>
      <c r="B24" s="106"/>
      <c r="C24" s="107"/>
      <c r="D24" s="106"/>
      <c r="E24" s="109">
        <f>E22-E23</f>
        <v>464603265.79800647</v>
      </c>
    </row>
    <row r="25" spans="1:5" x14ac:dyDescent="0.25">
      <c r="A25" s="102" t="s">
        <v>34</v>
      </c>
      <c r="B25" s="106"/>
      <c r="C25" s="107"/>
      <c r="D25" s="106"/>
      <c r="E25" s="99">
        <v>199935808.36472112</v>
      </c>
    </row>
    <row r="26" spans="1:5" x14ac:dyDescent="0.25">
      <c r="A26" s="102" t="s">
        <v>33</v>
      </c>
      <c r="B26" s="106"/>
      <c r="C26" s="107"/>
      <c r="D26" s="106"/>
      <c r="E26" s="99">
        <v>213900.0840970765</v>
      </c>
    </row>
    <row r="27" spans="1:5" x14ac:dyDescent="0.25">
      <c r="A27" s="102" t="s">
        <v>32</v>
      </c>
      <c r="B27" s="106"/>
      <c r="C27" s="107"/>
      <c r="D27" s="106"/>
      <c r="E27" s="99">
        <v>20854086.773849227</v>
      </c>
    </row>
    <row r="28" spans="1:5" x14ac:dyDescent="0.25">
      <c r="A28" s="102" t="s">
        <v>31</v>
      </c>
      <c r="B28" s="106"/>
      <c r="C28" s="107"/>
      <c r="D28" s="106"/>
      <c r="E28" s="99">
        <v>52331319.153926805</v>
      </c>
    </row>
    <row r="29" spans="1:5" x14ac:dyDescent="0.25">
      <c r="A29" s="102" t="s">
        <v>30</v>
      </c>
      <c r="B29" s="106"/>
      <c r="C29" s="107"/>
      <c r="D29" s="106"/>
      <c r="E29" s="99">
        <v>4695846.6085773073</v>
      </c>
    </row>
    <row r="30" spans="1:5" x14ac:dyDescent="0.25">
      <c r="A30" s="102" t="s">
        <v>29</v>
      </c>
      <c r="B30" s="106"/>
      <c r="C30" s="107"/>
      <c r="D30" s="106"/>
      <c r="E30" s="109">
        <f>SUM(E31:E33)</f>
        <v>5859591.785397131</v>
      </c>
    </row>
    <row r="31" spans="1:5" x14ac:dyDescent="0.25">
      <c r="A31" s="108"/>
      <c r="B31" s="106"/>
      <c r="C31" s="107"/>
      <c r="D31" s="106"/>
      <c r="E31" s="99">
        <v>4315082.4870144837</v>
      </c>
    </row>
    <row r="32" spans="1:5" x14ac:dyDescent="0.25">
      <c r="A32" s="108"/>
      <c r="B32" s="106"/>
      <c r="C32" s="107"/>
      <c r="D32" s="106"/>
      <c r="E32" s="99">
        <v>1497327.1213626473</v>
      </c>
    </row>
    <row r="33" spans="1:5" x14ac:dyDescent="0.25">
      <c r="A33" s="108"/>
      <c r="B33" s="106"/>
      <c r="C33" s="107"/>
      <c r="D33" s="106"/>
      <c r="E33" s="99">
        <v>47182.177019999981</v>
      </c>
    </row>
    <row r="34" spans="1:5" x14ac:dyDescent="0.25">
      <c r="A34" s="103"/>
      <c r="B34" s="34"/>
      <c r="C34" s="34"/>
      <c r="D34" s="34"/>
      <c r="E34" s="89"/>
    </row>
    <row r="35" spans="1:5" x14ac:dyDescent="0.25">
      <c r="A35" s="105" t="s">
        <v>165</v>
      </c>
      <c r="B35" s="100"/>
      <c r="C35" s="101"/>
      <c r="D35" s="100"/>
      <c r="E35" s="104">
        <f>E5-E20</f>
        <v>41385010.785471678</v>
      </c>
    </row>
    <row r="36" spans="1:5" x14ac:dyDescent="0.25">
      <c r="A36" s="103"/>
      <c r="B36" s="34"/>
      <c r="C36" s="34"/>
      <c r="D36" s="34"/>
      <c r="E36" s="89"/>
    </row>
    <row r="37" spans="1:5" x14ac:dyDescent="0.25">
      <c r="A37" s="102" t="s">
        <v>164</v>
      </c>
      <c r="B37" s="100"/>
      <c r="C37" s="101"/>
      <c r="D37" s="100"/>
      <c r="E37" s="99">
        <v>12293816.346270001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5" x14ac:dyDescent="0.25"/>
  <cols>
    <col min="1" max="1" width="55.85546875" bestFit="1" customWidth="1"/>
    <col min="2" max="2" width="19.42578125" bestFit="1" customWidth="1"/>
    <col min="3" max="3" width="12.28515625" bestFit="1" customWidth="1"/>
    <col min="4" max="4" width="16" bestFit="1" customWidth="1"/>
    <col min="5" max="5" width="14" bestFit="1" customWidth="1"/>
    <col min="6" max="6" width="8.710937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42" t="s">
        <v>228</v>
      </c>
      <c r="B1" s="141">
        <v>43830</v>
      </c>
      <c r="C1" s="43"/>
      <c r="D1" s="42"/>
      <c r="E1" s="43"/>
      <c r="F1" s="43"/>
      <c r="G1" s="43"/>
      <c r="H1" s="42"/>
      <c r="I1" s="42"/>
    </row>
    <row r="2" spans="1:9" ht="15.75" thickBot="1" x14ac:dyDescent="0.3">
      <c r="A2" s="140"/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138" t="s">
        <v>227</v>
      </c>
      <c r="B3" s="137">
        <f>SUM(B4:B5)</f>
        <v>2810425381.4684858</v>
      </c>
      <c r="C3" s="39"/>
      <c r="D3" s="39"/>
      <c r="E3" s="39"/>
      <c r="F3" s="39"/>
      <c r="G3" s="39"/>
      <c r="H3" s="39"/>
      <c r="I3" s="39"/>
    </row>
    <row r="4" spans="1:9" x14ac:dyDescent="0.25">
      <c r="A4" s="136" t="s">
        <v>56</v>
      </c>
      <c r="B4" s="135">
        <f>C14+C24+C35+C42+C53+C64+C75+C83+C90</f>
        <v>1448299910.0461917</v>
      </c>
      <c r="C4" s="39"/>
      <c r="D4" s="39"/>
      <c r="E4" s="39"/>
      <c r="F4" s="39"/>
      <c r="G4" s="39"/>
      <c r="H4" s="39"/>
      <c r="I4" s="39"/>
    </row>
    <row r="5" spans="1:9" ht="15.75" thickBot="1" x14ac:dyDescent="0.3">
      <c r="A5" s="134" t="s">
        <v>222</v>
      </c>
      <c r="B5" s="133">
        <f>D14+D24+D35+D42+D53+D64+D75+D83+D90</f>
        <v>1362125471.4222939</v>
      </c>
      <c r="C5" s="39"/>
      <c r="D5" s="39"/>
      <c r="E5" s="39"/>
      <c r="F5" s="39"/>
      <c r="G5" s="39"/>
      <c r="H5" s="39"/>
      <c r="I5" s="39"/>
    </row>
    <row r="6" spans="1:9" ht="15.75" thickBot="1" x14ac:dyDescent="0.3">
      <c r="A6" s="39"/>
      <c r="B6" s="139"/>
      <c r="C6" s="39"/>
      <c r="D6" s="39"/>
      <c r="E6" s="39"/>
      <c r="F6" s="39"/>
      <c r="G6" s="39"/>
      <c r="H6" s="39"/>
      <c r="I6" s="39"/>
    </row>
    <row r="7" spans="1:9" x14ac:dyDescent="0.25">
      <c r="A7" s="138" t="s">
        <v>226</v>
      </c>
      <c r="B7" s="137">
        <f>SUM(B8:B9)</f>
        <v>17245138.489177603</v>
      </c>
      <c r="C7" s="39"/>
      <c r="D7" s="39"/>
      <c r="E7" s="39"/>
      <c r="F7" s="39"/>
      <c r="G7" s="39"/>
      <c r="H7" s="39"/>
      <c r="I7" s="39"/>
    </row>
    <row r="8" spans="1:9" x14ac:dyDescent="0.25">
      <c r="A8" s="136" t="s">
        <v>56</v>
      </c>
      <c r="B8" s="135">
        <f>F14+F24+F35+F42+F53+F64+F75+F83+F90</f>
        <v>1584969.4645495252</v>
      </c>
      <c r="C8" s="39"/>
      <c r="D8" s="39"/>
      <c r="E8" s="39"/>
      <c r="F8" s="39"/>
      <c r="G8" s="39"/>
      <c r="H8" s="39"/>
      <c r="I8" s="39"/>
    </row>
    <row r="9" spans="1:9" ht="15.75" thickBot="1" x14ac:dyDescent="0.3">
      <c r="A9" s="134" t="s">
        <v>222</v>
      </c>
      <c r="B9" s="133">
        <f>G14+G24+G35+G42+G53+G64+G75+G83+G90</f>
        <v>15660169.024628077</v>
      </c>
      <c r="C9" s="39"/>
      <c r="D9" s="39"/>
      <c r="E9" s="39"/>
      <c r="F9" s="39"/>
      <c r="G9" s="39"/>
      <c r="H9" s="39"/>
      <c r="I9" s="39"/>
    </row>
    <row r="10" spans="1:9" ht="15.75" thickBot="1" x14ac:dyDescent="0.3">
      <c r="A10" s="39"/>
      <c r="B10" s="39"/>
      <c r="C10" s="39"/>
      <c r="D10" s="39"/>
      <c r="E10" s="39"/>
      <c r="F10" s="39"/>
      <c r="G10" s="39"/>
      <c r="H10" s="39"/>
      <c r="I10" s="39"/>
    </row>
    <row r="11" spans="1:9" x14ac:dyDescent="0.25">
      <c r="A11" s="222" t="s">
        <v>225</v>
      </c>
      <c r="B11" s="224" t="s">
        <v>108</v>
      </c>
      <c r="C11" s="226" t="s">
        <v>224</v>
      </c>
      <c r="D11" s="226"/>
      <c r="E11" s="226"/>
      <c r="F11" s="226" t="s">
        <v>223</v>
      </c>
      <c r="G11" s="226"/>
      <c r="H11" s="226"/>
      <c r="I11" s="220" t="s">
        <v>0</v>
      </c>
    </row>
    <row r="12" spans="1:9" ht="26.25" thickBot="1" x14ac:dyDescent="0.3">
      <c r="A12" s="223"/>
      <c r="B12" s="225"/>
      <c r="C12" s="131" t="s">
        <v>56</v>
      </c>
      <c r="D12" s="132" t="s">
        <v>222</v>
      </c>
      <c r="E12" s="131" t="s">
        <v>0</v>
      </c>
      <c r="F12" s="131" t="s">
        <v>56</v>
      </c>
      <c r="G12" s="132" t="s">
        <v>222</v>
      </c>
      <c r="H12" s="131" t="s">
        <v>0</v>
      </c>
      <c r="I12" s="221"/>
    </row>
    <row r="13" spans="1:9" x14ac:dyDescent="0.25">
      <c r="A13" s="120"/>
      <c r="B13" s="120"/>
      <c r="C13" s="120"/>
      <c r="D13" s="120"/>
      <c r="E13" s="120"/>
      <c r="F13" s="120"/>
      <c r="G13" s="120"/>
      <c r="H13" s="120"/>
      <c r="I13" s="120"/>
    </row>
    <row r="14" spans="1:9" x14ac:dyDescent="0.25">
      <c r="A14" s="130" t="s">
        <v>53</v>
      </c>
      <c r="B14" s="129"/>
      <c r="C14" s="124">
        <f>SUM(C15:C22)</f>
        <v>62403507.499880321</v>
      </c>
      <c r="D14" s="124">
        <f>SUM(D15:D22)</f>
        <v>173303937.72872084</v>
      </c>
      <c r="E14" s="124">
        <f t="shared" ref="E14:E22" si="0">SUM(C14:D14)</f>
        <v>235707445.22860116</v>
      </c>
      <c r="F14" s="124">
        <f>SUM(F15:F22)</f>
        <v>0</v>
      </c>
      <c r="G14" s="124">
        <f>SUM(G15:G22)</f>
        <v>0</v>
      </c>
      <c r="H14" s="124">
        <f t="shared" ref="H14:H22" si="1">SUM(F14:G14)</f>
        <v>0</v>
      </c>
      <c r="I14" s="124">
        <f t="shared" ref="I14:I22" si="2">E14+H14</f>
        <v>235707445.22860116</v>
      </c>
    </row>
    <row r="15" spans="1:9" x14ac:dyDescent="0.25">
      <c r="A15" s="123" t="s">
        <v>221</v>
      </c>
      <c r="B15" s="122"/>
      <c r="C15" s="63">
        <v>54645023.717664279</v>
      </c>
      <c r="D15" s="63">
        <v>140766501.21748507</v>
      </c>
      <c r="E15" s="121">
        <f t="shared" si="0"/>
        <v>195411524.93514934</v>
      </c>
      <c r="F15" s="63">
        <v>0</v>
      </c>
      <c r="G15" s="63">
        <v>0</v>
      </c>
      <c r="H15" s="121">
        <f t="shared" si="1"/>
        <v>0</v>
      </c>
      <c r="I15" s="121">
        <f t="shared" si="2"/>
        <v>195411524.93514934</v>
      </c>
    </row>
    <row r="16" spans="1:9" x14ac:dyDescent="0.25">
      <c r="A16" s="123" t="s">
        <v>220</v>
      </c>
      <c r="B16" s="122"/>
      <c r="C16" s="63">
        <v>563.00782100000004</v>
      </c>
      <c r="D16" s="63">
        <v>0</v>
      </c>
      <c r="E16" s="121">
        <f t="shared" si="0"/>
        <v>563.00782100000004</v>
      </c>
      <c r="F16" s="63">
        <v>0</v>
      </c>
      <c r="G16" s="63">
        <v>0</v>
      </c>
      <c r="H16" s="121">
        <f t="shared" si="1"/>
        <v>0</v>
      </c>
      <c r="I16" s="121">
        <f t="shared" si="2"/>
        <v>563.00782100000004</v>
      </c>
    </row>
    <row r="17" spans="1:9" x14ac:dyDescent="0.25">
      <c r="A17" s="123" t="s">
        <v>219</v>
      </c>
      <c r="B17" s="122"/>
      <c r="C17" s="63">
        <v>5382.2761440514696</v>
      </c>
      <c r="D17" s="63">
        <v>58431.611886823921</v>
      </c>
      <c r="E17" s="121">
        <f t="shared" si="0"/>
        <v>63813.888030875387</v>
      </c>
      <c r="F17" s="63">
        <v>0</v>
      </c>
      <c r="G17" s="63">
        <v>0</v>
      </c>
      <c r="H17" s="121">
        <f t="shared" si="1"/>
        <v>0</v>
      </c>
      <c r="I17" s="121">
        <f t="shared" si="2"/>
        <v>63813.888030875387</v>
      </c>
    </row>
    <row r="18" spans="1:9" x14ac:dyDescent="0.25">
      <c r="A18" s="123" t="s">
        <v>218</v>
      </c>
      <c r="B18" s="122"/>
      <c r="C18" s="63">
        <v>728243.97360572522</v>
      </c>
      <c r="D18" s="63">
        <v>4554883.9834534358</v>
      </c>
      <c r="E18" s="121">
        <f t="shared" si="0"/>
        <v>5283127.9570591608</v>
      </c>
      <c r="F18" s="63">
        <v>0</v>
      </c>
      <c r="G18" s="63">
        <v>0</v>
      </c>
      <c r="H18" s="121">
        <f t="shared" si="1"/>
        <v>0</v>
      </c>
      <c r="I18" s="121">
        <f t="shared" si="2"/>
        <v>5283127.9570591608</v>
      </c>
    </row>
    <row r="19" spans="1:9" x14ac:dyDescent="0.25">
      <c r="A19" s="123" t="s">
        <v>217</v>
      </c>
      <c r="B19" s="122"/>
      <c r="C19" s="63">
        <v>793758.8063225511</v>
      </c>
      <c r="D19" s="63">
        <v>6039868.9630693672</v>
      </c>
      <c r="E19" s="121">
        <f t="shared" si="0"/>
        <v>6833627.7693919186</v>
      </c>
      <c r="F19" s="63">
        <v>0</v>
      </c>
      <c r="G19" s="63">
        <v>0</v>
      </c>
      <c r="H19" s="121">
        <f t="shared" si="1"/>
        <v>0</v>
      </c>
      <c r="I19" s="121">
        <f t="shared" si="2"/>
        <v>6833627.7693919186</v>
      </c>
    </row>
    <row r="20" spans="1:9" x14ac:dyDescent="0.25">
      <c r="A20" s="123" t="s">
        <v>210</v>
      </c>
      <c r="B20" s="122"/>
      <c r="C20" s="63">
        <v>1069.71793633078</v>
      </c>
      <c r="D20" s="63">
        <v>30.752649503413299</v>
      </c>
      <c r="E20" s="121">
        <f t="shared" si="0"/>
        <v>1100.4705858341933</v>
      </c>
      <c r="F20" s="63">
        <v>0</v>
      </c>
      <c r="G20" s="63">
        <v>0</v>
      </c>
      <c r="H20" s="121">
        <f t="shared" si="1"/>
        <v>0</v>
      </c>
      <c r="I20" s="121">
        <f t="shared" si="2"/>
        <v>1100.4705858341933</v>
      </c>
    </row>
    <row r="21" spans="1:9" x14ac:dyDescent="0.25">
      <c r="A21" s="123" t="s">
        <v>209</v>
      </c>
      <c r="B21" s="122"/>
      <c r="C21" s="63">
        <v>6223416.6003863858</v>
      </c>
      <c r="D21" s="63">
        <v>21878504.86187787</v>
      </c>
      <c r="E21" s="121">
        <f t="shared" si="0"/>
        <v>28101921.462264255</v>
      </c>
      <c r="F21" s="63">
        <v>0</v>
      </c>
      <c r="G21" s="63">
        <v>0</v>
      </c>
      <c r="H21" s="121">
        <f t="shared" si="1"/>
        <v>0</v>
      </c>
      <c r="I21" s="121">
        <f t="shared" si="2"/>
        <v>28101921.462264255</v>
      </c>
    </row>
    <row r="22" spans="1:9" x14ac:dyDescent="0.25">
      <c r="A22" s="123" t="s">
        <v>216</v>
      </c>
      <c r="B22" s="122"/>
      <c r="C22" s="63">
        <v>6049.4</v>
      </c>
      <c r="D22" s="63">
        <v>5716.3382987743498</v>
      </c>
      <c r="E22" s="121">
        <f t="shared" si="0"/>
        <v>11765.738298774349</v>
      </c>
      <c r="F22" s="63">
        <v>0</v>
      </c>
      <c r="G22" s="63">
        <v>0</v>
      </c>
      <c r="H22" s="121">
        <f t="shared" si="1"/>
        <v>0</v>
      </c>
      <c r="I22" s="121">
        <f t="shared" si="2"/>
        <v>11765.738298774349</v>
      </c>
    </row>
    <row r="23" spans="1:9" x14ac:dyDescent="0.25">
      <c r="A23" s="128"/>
      <c r="B23" s="120"/>
      <c r="C23" s="127"/>
      <c r="D23" s="127"/>
      <c r="E23" s="127"/>
      <c r="F23" s="127"/>
      <c r="G23" s="127"/>
      <c r="H23" s="127"/>
      <c r="I23" s="127"/>
    </row>
    <row r="24" spans="1:9" x14ac:dyDescent="0.25">
      <c r="A24" s="130" t="s">
        <v>51</v>
      </c>
      <c r="B24" s="129"/>
      <c r="C24" s="124">
        <f>SUM(C25:C33)</f>
        <v>69567243.686928988</v>
      </c>
      <c r="D24" s="124">
        <f>SUM(D25:D33)</f>
        <v>165627522.15679112</v>
      </c>
      <c r="E24" s="124">
        <f t="shared" ref="E24:E33" si="3">SUM(C24:D24)</f>
        <v>235194765.84372011</v>
      </c>
      <c r="F24" s="124">
        <f>SUM(F25:F33)</f>
        <v>131268.49500388399</v>
      </c>
      <c r="G24" s="124">
        <f>SUM(G25:G33)</f>
        <v>20771213.141986117</v>
      </c>
      <c r="H24" s="124">
        <f t="shared" ref="H24:H33" si="4">SUM(F24:G24)</f>
        <v>20902481.63699</v>
      </c>
      <c r="I24" s="124">
        <f t="shared" ref="I24:I33" si="5">E24+H24</f>
        <v>256097247.48071012</v>
      </c>
    </row>
    <row r="25" spans="1:9" x14ac:dyDescent="0.25">
      <c r="A25" s="123" t="s">
        <v>215</v>
      </c>
      <c r="B25" s="122"/>
      <c r="C25" s="63">
        <v>51016347.717635505</v>
      </c>
      <c r="D25" s="63">
        <v>134615441.88605532</v>
      </c>
      <c r="E25" s="121">
        <f t="shared" si="3"/>
        <v>185631789.60369083</v>
      </c>
      <c r="F25" s="63">
        <v>0</v>
      </c>
      <c r="G25" s="63">
        <v>20744619</v>
      </c>
      <c r="H25" s="121">
        <f t="shared" si="4"/>
        <v>20744619</v>
      </c>
      <c r="I25" s="121">
        <f t="shared" si="5"/>
        <v>206376408.60369083</v>
      </c>
    </row>
    <row r="26" spans="1:9" x14ac:dyDescent="0.25">
      <c r="A26" s="123" t="s">
        <v>214</v>
      </c>
      <c r="B26" s="122"/>
      <c r="C26" s="63">
        <v>160990.2046910245</v>
      </c>
      <c r="D26" s="63">
        <v>74035.199999999997</v>
      </c>
      <c r="E26" s="121">
        <f t="shared" si="3"/>
        <v>235025.40469102451</v>
      </c>
      <c r="F26" s="63">
        <v>0</v>
      </c>
      <c r="G26" s="63">
        <v>0</v>
      </c>
      <c r="H26" s="121">
        <f t="shared" si="4"/>
        <v>0</v>
      </c>
      <c r="I26" s="121">
        <f t="shared" si="5"/>
        <v>235025.40469102451</v>
      </c>
    </row>
    <row r="27" spans="1:9" x14ac:dyDescent="0.25">
      <c r="A27" s="123" t="s">
        <v>213</v>
      </c>
      <c r="B27" s="122"/>
      <c r="C27" s="63">
        <v>1317437.6275047984</v>
      </c>
      <c r="D27" s="63">
        <v>289852.97286272433</v>
      </c>
      <c r="E27" s="121">
        <f t="shared" si="3"/>
        <v>1607290.6003675228</v>
      </c>
      <c r="F27" s="63">
        <v>0</v>
      </c>
      <c r="G27" s="63">
        <v>0</v>
      </c>
      <c r="H27" s="121">
        <f t="shared" si="4"/>
        <v>0</v>
      </c>
      <c r="I27" s="121">
        <f t="shared" si="5"/>
        <v>1607290.6003675228</v>
      </c>
    </row>
    <row r="28" spans="1:9" x14ac:dyDescent="0.25">
      <c r="A28" s="123" t="s">
        <v>212</v>
      </c>
      <c r="B28" s="122"/>
      <c r="C28" s="63">
        <v>9701889.429470269</v>
      </c>
      <c r="D28" s="63">
        <v>3301297.652080691</v>
      </c>
      <c r="E28" s="121">
        <f t="shared" si="3"/>
        <v>13003187.081550959</v>
      </c>
      <c r="F28" s="63">
        <v>0</v>
      </c>
      <c r="G28" s="63">
        <v>0</v>
      </c>
      <c r="H28" s="121">
        <f t="shared" si="4"/>
        <v>0</v>
      </c>
      <c r="I28" s="121">
        <f t="shared" si="5"/>
        <v>13003187.081550959</v>
      </c>
    </row>
    <row r="29" spans="1:9" x14ac:dyDescent="0.25">
      <c r="A29" s="123" t="s">
        <v>211</v>
      </c>
      <c r="B29" s="122"/>
      <c r="C29" s="63">
        <v>28566.4393867654</v>
      </c>
      <c r="D29" s="63">
        <v>17326.861408138437</v>
      </c>
      <c r="E29" s="121">
        <f t="shared" si="3"/>
        <v>45893.300794903837</v>
      </c>
      <c r="F29" s="63">
        <v>0</v>
      </c>
      <c r="G29" s="63">
        <v>0</v>
      </c>
      <c r="H29" s="121">
        <f t="shared" si="4"/>
        <v>0</v>
      </c>
      <c r="I29" s="121">
        <f t="shared" si="5"/>
        <v>45893.300794903837</v>
      </c>
    </row>
    <row r="30" spans="1:9" x14ac:dyDescent="0.25">
      <c r="A30" s="123" t="s">
        <v>210</v>
      </c>
      <c r="B30" s="122"/>
      <c r="C30" s="63">
        <v>169474.21995341001</v>
      </c>
      <c r="D30" s="63">
        <v>145977.31817658999</v>
      </c>
      <c r="E30" s="121">
        <f t="shared" si="3"/>
        <v>315451.53813</v>
      </c>
      <c r="F30" s="63">
        <v>0</v>
      </c>
      <c r="G30" s="63">
        <v>0</v>
      </c>
      <c r="H30" s="121">
        <f t="shared" si="4"/>
        <v>0</v>
      </c>
      <c r="I30" s="121">
        <f t="shared" si="5"/>
        <v>315451.53813</v>
      </c>
    </row>
    <row r="31" spans="1:9" x14ac:dyDescent="0.25">
      <c r="A31" s="123" t="s">
        <v>209</v>
      </c>
      <c r="B31" s="122"/>
      <c r="C31" s="63">
        <v>4755148.5973978508</v>
      </c>
      <c r="D31" s="63">
        <v>22338832.610653207</v>
      </c>
      <c r="E31" s="121">
        <f t="shared" si="3"/>
        <v>27093981.208051056</v>
      </c>
      <c r="F31" s="63">
        <v>0</v>
      </c>
      <c r="G31" s="63">
        <v>0</v>
      </c>
      <c r="H31" s="121">
        <f t="shared" si="4"/>
        <v>0</v>
      </c>
      <c r="I31" s="121">
        <f t="shared" si="5"/>
        <v>27093981.208051056</v>
      </c>
    </row>
    <row r="32" spans="1:9" x14ac:dyDescent="0.25">
      <c r="A32" s="123" t="s">
        <v>208</v>
      </c>
      <c r="B32" s="122"/>
      <c r="C32" s="63">
        <v>976613.3403430311</v>
      </c>
      <c r="D32" s="63">
        <v>3888020.0135851386</v>
      </c>
      <c r="E32" s="121">
        <f t="shared" si="3"/>
        <v>4864633.3539281692</v>
      </c>
      <c r="F32" s="63">
        <v>131268.49500388399</v>
      </c>
      <c r="G32" s="63">
        <v>26594.14198611601</v>
      </c>
      <c r="H32" s="121">
        <f t="shared" si="4"/>
        <v>157862.63699</v>
      </c>
      <c r="I32" s="121">
        <f t="shared" si="5"/>
        <v>5022495.9909181688</v>
      </c>
    </row>
    <row r="33" spans="1:9" x14ac:dyDescent="0.25">
      <c r="A33" s="123" t="s">
        <v>175</v>
      </c>
      <c r="B33" s="122"/>
      <c r="C33" s="63">
        <v>1440776.1105463314</v>
      </c>
      <c r="D33" s="63">
        <v>956737.64196928253</v>
      </c>
      <c r="E33" s="121">
        <f t="shared" si="3"/>
        <v>2397513.752515614</v>
      </c>
      <c r="F33" s="63">
        <v>0</v>
      </c>
      <c r="G33" s="63">
        <v>0</v>
      </c>
      <c r="H33" s="121">
        <f t="shared" si="4"/>
        <v>0</v>
      </c>
      <c r="I33" s="121">
        <f t="shared" si="5"/>
        <v>2397513.752515614</v>
      </c>
    </row>
    <row r="34" spans="1:9" x14ac:dyDescent="0.25">
      <c r="A34" s="128"/>
      <c r="B34" s="120"/>
      <c r="C34" s="127"/>
      <c r="D34" s="127"/>
      <c r="E34" s="127"/>
      <c r="F34" s="127"/>
      <c r="G34" s="127"/>
      <c r="H34" s="127"/>
      <c r="I34" s="127"/>
    </row>
    <row r="35" spans="1:9" x14ac:dyDescent="0.25">
      <c r="A35" s="126" t="s">
        <v>49</v>
      </c>
      <c r="B35" s="125"/>
      <c r="C35" s="124">
        <f>SUM(C36:C40)</f>
        <v>238845855.48339817</v>
      </c>
      <c r="D35" s="124">
        <f>SUM(D36:D40)</f>
        <v>233772839.81724876</v>
      </c>
      <c r="E35" s="124">
        <f t="shared" ref="E35:E40" si="6">SUM(C35:D35)</f>
        <v>472618695.3006469</v>
      </c>
      <c r="F35" s="124">
        <f>SUM(F36:F40)</f>
        <v>966232.81403054798</v>
      </c>
      <c r="G35" s="124">
        <f>SUM(G36:G40)</f>
        <v>15845120.168059399</v>
      </c>
      <c r="H35" s="124">
        <f t="shared" ref="H35:H40" si="7">SUM(F35:G35)</f>
        <v>16811352.982089948</v>
      </c>
      <c r="I35" s="124">
        <f t="shared" ref="I35:I40" si="8">E35+H35</f>
        <v>489430048.28273684</v>
      </c>
    </row>
    <row r="36" spans="1:9" x14ac:dyDescent="0.25">
      <c r="A36" s="123" t="s">
        <v>207</v>
      </c>
      <c r="B36" s="122"/>
      <c r="C36" s="63">
        <v>218707991.9980799</v>
      </c>
      <c r="D36" s="63">
        <v>218389703.9522534</v>
      </c>
      <c r="E36" s="121">
        <f t="shared" si="6"/>
        <v>437097695.9503333</v>
      </c>
      <c r="F36" s="63">
        <v>0</v>
      </c>
      <c r="G36" s="63">
        <v>1564790</v>
      </c>
      <c r="H36" s="121">
        <f t="shared" si="7"/>
        <v>1564790</v>
      </c>
      <c r="I36" s="121">
        <f t="shared" si="8"/>
        <v>438662485.9503333</v>
      </c>
    </row>
    <row r="37" spans="1:9" x14ac:dyDescent="0.25">
      <c r="A37" s="123" t="s">
        <v>206</v>
      </c>
      <c r="B37" s="122"/>
      <c r="C37" s="63">
        <v>13023659.775089229</v>
      </c>
      <c r="D37" s="63">
        <v>10468504.265629239</v>
      </c>
      <c r="E37" s="121">
        <f t="shared" si="6"/>
        <v>23492164.040718466</v>
      </c>
      <c r="F37" s="63">
        <v>966232.81403054798</v>
      </c>
      <c r="G37" s="63">
        <v>13571184.168059399</v>
      </c>
      <c r="H37" s="121">
        <f t="shared" si="7"/>
        <v>14537416.982089948</v>
      </c>
      <c r="I37" s="121">
        <f t="shared" si="8"/>
        <v>38029581.022808418</v>
      </c>
    </row>
    <row r="38" spans="1:9" x14ac:dyDescent="0.25">
      <c r="A38" s="123" t="s">
        <v>205</v>
      </c>
      <c r="B38" s="122"/>
      <c r="C38" s="63">
        <v>130.0977752</v>
      </c>
      <c r="D38" s="63">
        <v>0</v>
      </c>
      <c r="E38" s="121">
        <f t="shared" si="6"/>
        <v>130.0977752</v>
      </c>
      <c r="F38" s="63">
        <v>0</v>
      </c>
      <c r="G38" s="63">
        <v>0</v>
      </c>
      <c r="H38" s="121">
        <f t="shared" si="7"/>
        <v>0</v>
      </c>
      <c r="I38" s="121">
        <f t="shared" si="8"/>
        <v>130.0977752</v>
      </c>
    </row>
    <row r="39" spans="1:9" x14ac:dyDescent="0.25">
      <c r="A39" s="123" t="s">
        <v>204</v>
      </c>
      <c r="B39" s="122"/>
      <c r="C39" s="63">
        <v>2549520.122431024</v>
      </c>
      <c r="D39" s="63">
        <v>3652072.7231710996</v>
      </c>
      <c r="E39" s="121">
        <f t="shared" si="6"/>
        <v>6201592.8456021231</v>
      </c>
      <c r="F39" s="63">
        <v>0</v>
      </c>
      <c r="G39" s="63">
        <v>709146</v>
      </c>
      <c r="H39" s="121">
        <f t="shared" si="7"/>
        <v>709146</v>
      </c>
      <c r="I39" s="121">
        <f t="shared" si="8"/>
        <v>6910738.8456021231</v>
      </c>
    </row>
    <row r="40" spans="1:9" x14ac:dyDescent="0.25">
      <c r="A40" s="123" t="s">
        <v>175</v>
      </c>
      <c r="B40" s="122"/>
      <c r="C40" s="63">
        <v>4564553.490022826</v>
      </c>
      <c r="D40" s="63">
        <v>1262558.8761950308</v>
      </c>
      <c r="E40" s="121">
        <f t="shared" si="6"/>
        <v>5827112.3662178572</v>
      </c>
      <c r="F40" s="63">
        <v>0</v>
      </c>
      <c r="G40" s="63">
        <v>0</v>
      </c>
      <c r="H40" s="121">
        <f t="shared" si="7"/>
        <v>0</v>
      </c>
      <c r="I40" s="121">
        <f t="shared" si="8"/>
        <v>5827112.3662178572</v>
      </c>
    </row>
    <row r="41" spans="1:9" x14ac:dyDescent="0.25">
      <c r="A41" s="128"/>
      <c r="B41" s="120"/>
      <c r="C41" s="127"/>
      <c r="D41" s="127"/>
      <c r="E41" s="127"/>
      <c r="F41" s="127"/>
      <c r="G41" s="127"/>
      <c r="H41" s="127"/>
      <c r="I41" s="127"/>
    </row>
    <row r="42" spans="1:9" x14ac:dyDescent="0.25">
      <c r="A42" s="126" t="s">
        <v>47</v>
      </c>
      <c r="B42" s="125"/>
      <c r="C42" s="124">
        <f>SUM(C43:C51)</f>
        <v>940155621.92747176</v>
      </c>
      <c r="D42" s="124">
        <f>SUM(D43:D51)</f>
        <v>536698473.73284972</v>
      </c>
      <c r="E42" s="124">
        <f t="shared" ref="E42:E51" si="9">SUM(C42:D42)</f>
        <v>1476854095.6603215</v>
      </c>
      <c r="F42" s="124">
        <f>SUM(F43:F51)</f>
        <v>469245.92226000002</v>
      </c>
      <c r="G42" s="124">
        <f>SUM(G43:G51)</f>
        <v>70346.469531219991</v>
      </c>
      <c r="H42" s="124">
        <f t="shared" ref="H42:H51" si="10">SUM(F42:G42)</f>
        <v>539592.39179122006</v>
      </c>
      <c r="I42" s="124">
        <f t="shared" ref="I42:I51" si="11">E42+H42</f>
        <v>1477393688.0521126</v>
      </c>
    </row>
    <row r="43" spans="1:9" x14ac:dyDescent="0.25">
      <c r="A43" s="123" t="s">
        <v>203</v>
      </c>
      <c r="B43" s="122"/>
      <c r="C43" s="63">
        <v>378497366.9325074</v>
      </c>
      <c r="D43" s="63">
        <v>233736495.96243456</v>
      </c>
      <c r="E43" s="121">
        <f t="shared" si="9"/>
        <v>612233862.89494193</v>
      </c>
      <c r="F43" s="63">
        <v>24455.81683</v>
      </c>
      <c r="G43" s="63">
        <v>0</v>
      </c>
      <c r="H43" s="121">
        <f t="shared" si="10"/>
        <v>24455.81683</v>
      </c>
      <c r="I43" s="121">
        <f t="shared" si="11"/>
        <v>612258318.71177197</v>
      </c>
    </row>
    <row r="44" spans="1:9" x14ac:dyDescent="0.25">
      <c r="A44" s="123" t="s">
        <v>202</v>
      </c>
      <c r="B44" s="122"/>
      <c r="C44" s="63">
        <v>123608673.87502666</v>
      </c>
      <c r="D44" s="63">
        <v>54031535.063950934</v>
      </c>
      <c r="E44" s="121">
        <f t="shared" si="9"/>
        <v>177640208.9389776</v>
      </c>
      <c r="F44" s="63">
        <v>0</v>
      </c>
      <c r="G44" s="63">
        <v>0</v>
      </c>
      <c r="H44" s="121">
        <f t="shared" si="10"/>
        <v>0</v>
      </c>
      <c r="I44" s="121">
        <f t="shared" si="11"/>
        <v>177640208.9389776</v>
      </c>
    </row>
    <row r="45" spans="1:9" x14ac:dyDescent="0.25">
      <c r="A45" s="123" t="s">
        <v>201</v>
      </c>
      <c r="B45" s="122"/>
      <c r="C45" s="63">
        <v>68988823.132231146</v>
      </c>
      <c r="D45" s="63">
        <v>39906556.232746854</v>
      </c>
      <c r="E45" s="121">
        <f t="shared" si="9"/>
        <v>108895379.364978</v>
      </c>
      <c r="F45" s="63">
        <v>3023.4081299999998</v>
      </c>
      <c r="G45" s="63">
        <v>70346.469531219991</v>
      </c>
      <c r="H45" s="121">
        <f t="shared" si="10"/>
        <v>73369.877661219987</v>
      </c>
      <c r="I45" s="121">
        <f t="shared" si="11"/>
        <v>108968749.24263921</v>
      </c>
    </row>
    <row r="46" spans="1:9" x14ac:dyDescent="0.25">
      <c r="A46" s="123" t="s">
        <v>200</v>
      </c>
      <c r="B46" s="122"/>
      <c r="C46" s="63">
        <v>291986522.24246418</v>
      </c>
      <c r="D46" s="63">
        <v>161084702.21352631</v>
      </c>
      <c r="E46" s="121">
        <f t="shared" si="9"/>
        <v>453071224.45599049</v>
      </c>
      <c r="F46" s="63">
        <v>441766.6973</v>
      </c>
      <c r="G46" s="63">
        <v>0</v>
      </c>
      <c r="H46" s="121">
        <f t="shared" si="10"/>
        <v>441766.6973</v>
      </c>
      <c r="I46" s="121">
        <f t="shared" si="11"/>
        <v>453512991.15329051</v>
      </c>
    </row>
    <row r="47" spans="1:9" x14ac:dyDescent="0.25">
      <c r="A47" s="123" t="s">
        <v>199</v>
      </c>
      <c r="B47" s="122"/>
      <c r="C47" s="63">
        <v>19660205.056994215</v>
      </c>
      <c r="D47" s="63">
        <v>23411003.824321624</v>
      </c>
      <c r="E47" s="121">
        <f t="shared" si="9"/>
        <v>43071208.881315842</v>
      </c>
      <c r="F47" s="63">
        <v>0</v>
      </c>
      <c r="G47" s="63">
        <v>0</v>
      </c>
      <c r="H47" s="121">
        <f t="shared" si="10"/>
        <v>0</v>
      </c>
      <c r="I47" s="121">
        <f t="shared" si="11"/>
        <v>43071208.881315842</v>
      </c>
    </row>
    <row r="48" spans="1:9" x14ac:dyDescent="0.25">
      <c r="A48" s="123" t="s">
        <v>198</v>
      </c>
      <c r="B48" s="122"/>
      <c r="C48" s="63">
        <v>23660812.947112776</v>
      </c>
      <c r="D48" s="63">
        <v>5405299.8731535226</v>
      </c>
      <c r="E48" s="121">
        <f t="shared" si="9"/>
        <v>29066112.820266299</v>
      </c>
      <c r="F48" s="63">
        <v>0</v>
      </c>
      <c r="G48" s="63">
        <v>0</v>
      </c>
      <c r="H48" s="121">
        <f t="shared" si="10"/>
        <v>0</v>
      </c>
      <c r="I48" s="121">
        <f t="shared" si="11"/>
        <v>29066112.820266299</v>
      </c>
    </row>
    <row r="49" spans="1:9" x14ac:dyDescent="0.25">
      <c r="A49" s="123" t="s">
        <v>197</v>
      </c>
      <c r="B49" s="122"/>
      <c r="C49" s="63">
        <v>7556043.7418152494</v>
      </c>
      <c r="D49" s="63">
        <v>6140582.5814306801</v>
      </c>
      <c r="E49" s="121">
        <f t="shared" si="9"/>
        <v>13696626.32324593</v>
      </c>
      <c r="F49" s="63">
        <v>0</v>
      </c>
      <c r="G49" s="63">
        <v>0</v>
      </c>
      <c r="H49" s="121">
        <f t="shared" si="10"/>
        <v>0</v>
      </c>
      <c r="I49" s="121">
        <f t="shared" si="11"/>
        <v>13696626.32324593</v>
      </c>
    </row>
    <row r="50" spans="1:9" x14ac:dyDescent="0.25">
      <c r="A50" s="123" t="s">
        <v>196</v>
      </c>
      <c r="B50" s="122"/>
      <c r="C50" s="63">
        <v>665989.82740370196</v>
      </c>
      <c r="D50" s="63">
        <v>5689927.5562828891</v>
      </c>
      <c r="E50" s="121">
        <f t="shared" si="9"/>
        <v>6355917.3836865909</v>
      </c>
      <c r="F50" s="63">
        <v>0</v>
      </c>
      <c r="G50" s="63">
        <v>0</v>
      </c>
      <c r="H50" s="121">
        <f t="shared" si="10"/>
        <v>0</v>
      </c>
      <c r="I50" s="121">
        <f t="shared" si="11"/>
        <v>6355917.3836865909</v>
      </c>
    </row>
    <row r="51" spans="1:9" x14ac:dyDescent="0.25">
      <c r="A51" s="123" t="s">
        <v>175</v>
      </c>
      <c r="B51" s="122"/>
      <c r="C51" s="63">
        <v>25531184.17191644</v>
      </c>
      <c r="D51" s="63">
        <v>7292370.4250023812</v>
      </c>
      <c r="E51" s="121">
        <f t="shared" si="9"/>
        <v>32823554.596918821</v>
      </c>
      <c r="F51" s="63">
        <v>0</v>
      </c>
      <c r="G51" s="63">
        <v>0</v>
      </c>
      <c r="H51" s="121">
        <f t="shared" si="10"/>
        <v>0</v>
      </c>
      <c r="I51" s="121">
        <f t="shared" si="11"/>
        <v>32823554.596918821</v>
      </c>
    </row>
    <row r="52" spans="1:9" x14ac:dyDescent="0.25">
      <c r="A52" s="128"/>
      <c r="B52" s="120"/>
      <c r="C52" s="127"/>
      <c r="D52" s="127"/>
      <c r="E52" s="127"/>
      <c r="F52" s="127"/>
      <c r="G52" s="127"/>
      <c r="H52" s="127"/>
      <c r="I52" s="127"/>
    </row>
    <row r="53" spans="1:9" x14ac:dyDescent="0.25">
      <c r="A53" s="126" t="s">
        <v>45</v>
      </c>
      <c r="B53" s="125"/>
      <c r="C53" s="124">
        <f>SUM(C54:C62)</f>
        <v>5100756.3275295198</v>
      </c>
      <c r="D53" s="124">
        <f>SUM(D54:D62)</f>
        <v>47799659.836629011</v>
      </c>
      <c r="E53" s="124">
        <f t="shared" ref="E53:E62" si="12">SUM(C53:D53)</f>
        <v>52900416.164158531</v>
      </c>
      <c r="F53" s="124">
        <f>SUM(F54:F62)</f>
        <v>0</v>
      </c>
      <c r="G53" s="124">
        <f>SUM(G54:G62)</f>
        <v>-27226363</v>
      </c>
      <c r="H53" s="124">
        <f t="shared" ref="H53:H62" si="13">SUM(F53:G53)</f>
        <v>-27226363</v>
      </c>
      <c r="I53" s="124">
        <f t="shared" ref="I53:I62" si="14">E53+H53</f>
        <v>25674053.164158531</v>
      </c>
    </row>
    <row r="54" spans="1:9" x14ac:dyDescent="0.25">
      <c r="A54" s="123" t="s">
        <v>195</v>
      </c>
      <c r="B54" s="122"/>
      <c r="C54" s="63">
        <v>2674986.0152129699</v>
      </c>
      <c r="D54" s="63">
        <v>32797878.747700144</v>
      </c>
      <c r="E54" s="121">
        <f t="shared" si="12"/>
        <v>35472864.762913115</v>
      </c>
      <c r="F54" s="63">
        <v>0</v>
      </c>
      <c r="G54" s="63">
        <v>-27226363</v>
      </c>
      <c r="H54" s="121">
        <f t="shared" si="13"/>
        <v>-27226363</v>
      </c>
      <c r="I54" s="121">
        <f t="shared" si="14"/>
        <v>8246501.7629131153</v>
      </c>
    </row>
    <row r="55" spans="1:9" x14ac:dyDescent="0.25">
      <c r="A55" s="123" t="s">
        <v>194</v>
      </c>
      <c r="B55" s="122"/>
      <c r="C55" s="63">
        <v>0</v>
      </c>
      <c r="D55" s="63">
        <v>3481720.2007309315</v>
      </c>
      <c r="E55" s="121">
        <f t="shared" si="12"/>
        <v>3481720.2007309315</v>
      </c>
      <c r="F55" s="63">
        <v>0</v>
      </c>
      <c r="G55" s="63">
        <v>0</v>
      </c>
      <c r="H55" s="121">
        <f t="shared" si="13"/>
        <v>0</v>
      </c>
      <c r="I55" s="121">
        <f t="shared" si="14"/>
        <v>3481720.2007309315</v>
      </c>
    </row>
    <row r="56" spans="1:9" x14ac:dyDescent="0.25">
      <c r="A56" s="123" t="s">
        <v>193</v>
      </c>
      <c r="B56" s="122"/>
      <c r="C56" s="63">
        <v>73983.719689999998</v>
      </c>
      <c r="D56" s="63">
        <v>37445.009160000001</v>
      </c>
      <c r="E56" s="121">
        <f t="shared" si="12"/>
        <v>111428.72885</v>
      </c>
      <c r="F56" s="63">
        <v>0</v>
      </c>
      <c r="G56" s="63">
        <v>0</v>
      </c>
      <c r="H56" s="121">
        <f t="shared" si="13"/>
        <v>0</v>
      </c>
      <c r="I56" s="121">
        <f t="shared" si="14"/>
        <v>111428.72885</v>
      </c>
    </row>
    <row r="57" spans="1:9" x14ac:dyDescent="0.25">
      <c r="A57" s="123" t="s">
        <v>192</v>
      </c>
      <c r="B57" s="122"/>
      <c r="C57" s="63">
        <v>1529358.6222055492</v>
      </c>
      <c r="D57" s="63">
        <v>10878400.766235091</v>
      </c>
      <c r="E57" s="121">
        <f t="shared" si="12"/>
        <v>12407759.388440641</v>
      </c>
      <c r="F57" s="63">
        <v>0</v>
      </c>
      <c r="G57" s="63">
        <v>0</v>
      </c>
      <c r="H57" s="121">
        <f t="shared" si="13"/>
        <v>0</v>
      </c>
      <c r="I57" s="121">
        <f t="shared" si="14"/>
        <v>12407759.388440641</v>
      </c>
    </row>
    <row r="58" spans="1:9" x14ac:dyDescent="0.25">
      <c r="A58" s="123" t="s">
        <v>191</v>
      </c>
      <c r="B58" s="122"/>
      <c r="C58" s="63">
        <v>0</v>
      </c>
      <c r="D58" s="63">
        <v>0</v>
      </c>
      <c r="E58" s="121">
        <f t="shared" si="12"/>
        <v>0</v>
      </c>
      <c r="F58" s="63">
        <v>0</v>
      </c>
      <c r="G58" s="63">
        <v>0</v>
      </c>
      <c r="H58" s="121">
        <f t="shared" si="13"/>
        <v>0</v>
      </c>
      <c r="I58" s="121">
        <f t="shared" si="14"/>
        <v>0</v>
      </c>
    </row>
    <row r="59" spans="1:9" x14ac:dyDescent="0.25">
      <c r="A59" s="123" t="s">
        <v>190</v>
      </c>
      <c r="B59" s="122"/>
      <c r="C59" s="63">
        <v>337538</v>
      </c>
      <c r="D59" s="63">
        <v>8432.2000000000007</v>
      </c>
      <c r="E59" s="121">
        <f t="shared" si="12"/>
        <v>345970.2</v>
      </c>
      <c r="F59" s="63">
        <v>0</v>
      </c>
      <c r="G59" s="63">
        <v>0</v>
      </c>
      <c r="H59" s="121">
        <f t="shared" si="13"/>
        <v>0</v>
      </c>
      <c r="I59" s="121">
        <f t="shared" si="14"/>
        <v>345970.2</v>
      </c>
    </row>
    <row r="60" spans="1:9" x14ac:dyDescent="0.25">
      <c r="A60" s="123" t="s">
        <v>189</v>
      </c>
      <c r="B60" s="122"/>
      <c r="C60" s="63">
        <v>0</v>
      </c>
      <c r="D60" s="63">
        <v>0</v>
      </c>
      <c r="E60" s="121">
        <f t="shared" si="12"/>
        <v>0</v>
      </c>
      <c r="F60" s="63">
        <v>0</v>
      </c>
      <c r="G60" s="63">
        <v>0</v>
      </c>
      <c r="H60" s="121">
        <f t="shared" si="13"/>
        <v>0</v>
      </c>
      <c r="I60" s="121">
        <f t="shared" si="14"/>
        <v>0</v>
      </c>
    </row>
    <row r="61" spans="1:9" x14ac:dyDescent="0.25">
      <c r="A61" s="123" t="s">
        <v>188</v>
      </c>
      <c r="B61" s="122"/>
      <c r="C61" s="63">
        <v>0</v>
      </c>
      <c r="D61" s="63">
        <v>595575</v>
      </c>
      <c r="E61" s="121">
        <f t="shared" si="12"/>
        <v>595575</v>
      </c>
      <c r="F61" s="63">
        <v>0</v>
      </c>
      <c r="G61" s="63">
        <v>0</v>
      </c>
      <c r="H61" s="121">
        <f t="shared" si="13"/>
        <v>0</v>
      </c>
      <c r="I61" s="121">
        <f t="shared" si="14"/>
        <v>595575</v>
      </c>
    </row>
    <row r="62" spans="1:9" x14ac:dyDescent="0.25">
      <c r="A62" s="123" t="s">
        <v>175</v>
      </c>
      <c r="B62" s="122"/>
      <c r="C62" s="63">
        <v>484889.97042099998</v>
      </c>
      <c r="D62" s="63">
        <v>207.91280284621601</v>
      </c>
      <c r="E62" s="121">
        <f t="shared" si="12"/>
        <v>485097.88322384621</v>
      </c>
      <c r="F62" s="63">
        <v>0</v>
      </c>
      <c r="G62" s="63">
        <v>0</v>
      </c>
      <c r="H62" s="121">
        <f t="shared" si="13"/>
        <v>0</v>
      </c>
      <c r="I62" s="121">
        <f t="shared" si="14"/>
        <v>485097.88322384621</v>
      </c>
    </row>
    <row r="63" spans="1:9" x14ac:dyDescent="0.25">
      <c r="A63" s="128"/>
      <c r="B63" s="120"/>
      <c r="C63" s="127"/>
      <c r="D63" s="127"/>
      <c r="E63" s="127"/>
      <c r="F63" s="127"/>
      <c r="G63" s="127"/>
      <c r="H63" s="127"/>
      <c r="I63" s="127"/>
    </row>
    <row r="64" spans="1:9" x14ac:dyDescent="0.25">
      <c r="A64" s="126" t="s">
        <v>43</v>
      </c>
      <c r="B64" s="125"/>
      <c r="C64" s="124">
        <f>SUM(C65:C73)</f>
        <v>3923012.0854167584</v>
      </c>
      <c r="D64" s="124">
        <f>SUM(D65:D73)</f>
        <v>11822975.391856009</v>
      </c>
      <c r="E64" s="124">
        <f t="shared" ref="E64:E73" si="15">SUM(C64:D64)</f>
        <v>15745987.477272768</v>
      </c>
      <c r="F64" s="124">
        <f>SUM(F65:F73)</f>
        <v>0</v>
      </c>
      <c r="G64" s="124">
        <f>SUM(G65:G73)</f>
        <v>0</v>
      </c>
      <c r="H64" s="124">
        <f t="shared" ref="H64:H73" si="16">SUM(F64:G64)</f>
        <v>0</v>
      </c>
      <c r="I64" s="124">
        <f t="shared" ref="I64:I73" si="17">E64+H64</f>
        <v>15745987.477272768</v>
      </c>
    </row>
    <row r="65" spans="1:9" x14ac:dyDescent="0.25">
      <c r="A65" s="123" t="s">
        <v>195</v>
      </c>
      <c r="B65" s="122"/>
      <c r="C65" s="63">
        <v>15840.25016</v>
      </c>
      <c r="D65" s="63">
        <v>1310078.0610400001</v>
      </c>
      <c r="E65" s="121">
        <f t="shared" si="15"/>
        <v>1325918.3112000001</v>
      </c>
      <c r="F65" s="63">
        <v>0</v>
      </c>
      <c r="G65" s="63">
        <v>0</v>
      </c>
      <c r="H65" s="121">
        <f t="shared" si="16"/>
        <v>0</v>
      </c>
      <c r="I65" s="121">
        <f t="shared" si="17"/>
        <v>1325918.3112000001</v>
      </c>
    </row>
    <row r="66" spans="1:9" x14ac:dyDescent="0.25">
      <c r="A66" s="123" t="s">
        <v>194</v>
      </c>
      <c r="B66" s="122"/>
      <c r="C66" s="63">
        <v>15527.1292587435</v>
      </c>
      <c r="D66" s="63">
        <v>246794.37969288073</v>
      </c>
      <c r="E66" s="121">
        <f t="shared" si="15"/>
        <v>262321.50895162422</v>
      </c>
      <c r="F66" s="63">
        <v>0</v>
      </c>
      <c r="G66" s="63">
        <v>0</v>
      </c>
      <c r="H66" s="121">
        <f t="shared" si="16"/>
        <v>0</v>
      </c>
      <c r="I66" s="121">
        <f t="shared" si="17"/>
        <v>262321.50895162422</v>
      </c>
    </row>
    <row r="67" spans="1:9" x14ac:dyDescent="0.25">
      <c r="A67" s="123" t="s">
        <v>193</v>
      </c>
      <c r="B67" s="122"/>
      <c r="C67" s="63">
        <v>3979.8568008909901</v>
      </c>
      <c r="D67" s="63">
        <v>114.41440506399999</v>
      </c>
      <c r="E67" s="121">
        <f t="shared" si="15"/>
        <v>4094.2712059549904</v>
      </c>
      <c r="F67" s="63">
        <v>0</v>
      </c>
      <c r="G67" s="63">
        <v>0</v>
      </c>
      <c r="H67" s="121">
        <f t="shared" si="16"/>
        <v>0</v>
      </c>
      <c r="I67" s="121">
        <f t="shared" si="17"/>
        <v>4094.2712059549904</v>
      </c>
    </row>
    <row r="68" spans="1:9" x14ac:dyDescent="0.25">
      <c r="A68" s="123" t="s">
        <v>192</v>
      </c>
      <c r="B68" s="122"/>
      <c r="C68" s="63">
        <v>1974923.5738158501</v>
      </c>
      <c r="D68" s="63">
        <v>6551586.1956618307</v>
      </c>
      <c r="E68" s="121">
        <f t="shared" si="15"/>
        <v>8526509.7694776803</v>
      </c>
      <c r="F68" s="63">
        <v>0</v>
      </c>
      <c r="G68" s="63">
        <v>0</v>
      </c>
      <c r="H68" s="121">
        <f t="shared" si="16"/>
        <v>0</v>
      </c>
      <c r="I68" s="121">
        <f t="shared" si="17"/>
        <v>8526509.7694776803</v>
      </c>
    </row>
    <row r="69" spans="1:9" x14ac:dyDescent="0.25">
      <c r="A69" s="123" t="s">
        <v>191</v>
      </c>
      <c r="B69" s="122"/>
      <c r="C69" s="63">
        <v>1228051.7440024642</v>
      </c>
      <c r="D69" s="63">
        <v>3006371.6138764629</v>
      </c>
      <c r="E69" s="121">
        <f t="shared" si="15"/>
        <v>4234423.3578789271</v>
      </c>
      <c r="F69" s="63">
        <v>0</v>
      </c>
      <c r="G69" s="63">
        <v>0</v>
      </c>
      <c r="H69" s="121">
        <f t="shared" si="16"/>
        <v>0</v>
      </c>
      <c r="I69" s="121">
        <f t="shared" si="17"/>
        <v>4234423.3578789271</v>
      </c>
    </row>
    <row r="70" spans="1:9" x14ac:dyDescent="0.25">
      <c r="A70" s="123" t="s">
        <v>190</v>
      </c>
      <c r="B70" s="122"/>
      <c r="C70" s="63">
        <v>32693.120320000002</v>
      </c>
      <c r="D70" s="63">
        <v>0</v>
      </c>
      <c r="E70" s="121">
        <f t="shared" si="15"/>
        <v>32693.120320000002</v>
      </c>
      <c r="F70" s="63">
        <v>0</v>
      </c>
      <c r="G70" s="63">
        <v>0</v>
      </c>
      <c r="H70" s="121">
        <f t="shared" si="16"/>
        <v>0</v>
      </c>
      <c r="I70" s="121">
        <f t="shared" si="17"/>
        <v>32693.120320000002</v>
      </c>
    </row>
    <row r="71" spans="1:9" x14ac:dyDescent="0.25">
      <c r="A71" s="123" t="s">
        <v>189</v>
      </c>
      <c r="B71" s="122"/>
      <c r="C71" s="63">
        <v>0</v>
      </c>
      <c r="D71" s="63">
        <v>0</v>
      </c>
      <c r="E71" s="121">
        <f t="shared" si="15"/>
        <v>0</v>
      </c>
      <c r="F71" s="63">
        <v>0</v>
      </c>
      <c r="G71" s="63">
        <v>0</v>
      </c>
      <c r="H71" s="121">
        <f t="shared" si="16"/>
        <v>0</v>
      </c>
      <c r="I71" s="121">
        <f t="shared" si="17"/>
        <v>0</v>
      </c>
    </row>
    <row r="72" spans="1:9" x14ac:dyDescent="0.25">
      <c r="A72" s="123" t="s">
        <v>188</v>
      </c>
      <c r="B72" s="122"/>
      <c r="C72" s="63">
        <v>0</v>
      </c>
      <c r="D72" s="63">
        <v>0</v>
      </c>
      <c r="E72" s="121">
        <f t="shared" si="15"/>
        <v>0</v>
      </c>
      <c r="F72" s="63">
        <v>0</v>
      </c>
      <c r="G72" s="63">
        <v>0</v>
      </c>
      <c r="H72" s="121">
        <f t="shared" si="16"/>
        <v>0</v>
      </c>
      <c r="I72" s="121">
        <f t="shared" si="17"/>
        <v>0</v>
      </c>
    </row>
    <row r="73" spans="1:9" x14ac:dyDescent="0.25">
      <c r="A73" s="123" t="s">
        <v>175</v>
      </c>
      <c r="B73" s="122"/>
      <c r="C73" s="63">
        <v>651996.41105880903</v>
      </c>
      <c r="D73" s="63">
        <v>708030.72717977141</v>
      </c>
      <c r="E73" s="121">
        <f t="shared" si="15"/>
        <v>1360027.1382385804</v>
      </c>
      <c r="F73" s="63">
        <v>0</v>
      </c>
      <c r="G73" s="63">
        <v>0</v>
      </c>
      <c r="H73" s="121">
        <f t="shared" si="16"/>
        <v>0</v>
      </c>
      <c r="I73" s="121">
        <f t="shared" si="17"/>
        <v>1360027.1382385804</v>
      </c>
    </row>
    <row r="74" spans="1:9" x14ac:dyDescent="0.25">
      <c r="A74" s="128"/>
      <c r="B74" s="120"/>
      <c r="C74" s="127"/>
      <c r="D74" s="127"/>
      <c r="E74" s="127"/>
      <c r="F74" s="127"/>
      <c r="G74" s="127"/>
      <c r="H74" s="127"/>
      <c r="I74" s="127"/>
    </row>
    <row r="75" spans="1:9" x14ac:dyDescent="0.25">
      <c r="A75" s="126" t="s">
        <v>42</v>
      </c>
      <c r="B75" s="125"/>
      <c r="C75" s="124">
        <f>SUM(C76:C81)</f>
        <v>86709841.846700862</v>
      </c>
      <c r="D75" s="124">
        <f>SUM(D76:D81)</f>
        <v>116013903.05666851</v>
      </c>
      <c r="E75" s="124">
        <f t="shared" ref="E75:E81" si="18">SUM(C75:D75)</f>
        <v>202723744.90336937</v>
      </c>
      <c r="F75" s="124">
        <f>SUM(F76:F81)</f>
        <v>2260.5809237546355</v>
      </c>
      <c r="G75" s="124">
        <f>SUM(G76:G81)</f>
        <v>3431275.7293668757</v>
      </c>
      <c r="H75" s="124">
        <f t="shared" ref="H75:H81" si="19">SUM(F75:G75)</f>
        <v>3433536.3102906304</v>
      </c>
      <c r="I75" s="124">
        <f t="shared" ref="I75:I81" si="20">E75+H75</f>
        <v>206157281.21366</v>
      </c>
    </row>
    <row r="76" spans="1:9" x14ac:dyDescent="0.25">
      <c r="A76" s="123" t="s">
        <v>187</v>
      </c>
      <c r="B76" s="122"/>
      <c r="C76" s="63">
        <v>10852241.922798475</v>
      </c>
      <c r="D76" s="63">
        <v>9132184.6843257882</v>
      </c>
      <c r="E76" s="121">
        <f t="shared" si="18"/>
        <v>19984426.607124262</v>
      </c>
      <c r="F76" s="63">
        <v>604.36903725118304</v>
      </c>
      <c r="G76" s="63">
        <v>83784.511488228804</v>
      </c>
      <c r="H76" s="121">
        <f t="shared" si="19"/>
        <v>84388.880525479981</v>
      </c>
      <c r="I76" s="121">
        <f t="shared" si="20"/>
        <v>20068815.487649743</v>
      </c>
    </row>
    <row r="77" spans="1:9" x14ac:dyDescent="0.25">
      <c r="A77" s="123" t="s">
        <v>186</v>
      </c>
      <c r="B77" s="122"/>
      <c r="C77" s="63">
        <v>32732885.028791983</v>
      </c>
      <c r="D77" s="63">
        <v>83868541.683151007</v>
      </c>
      <c r="E77" s="121">
        <f t="shared" si="18"/>
        <v>116601426.71194299</v>
      </c>
      <c r="F77" s="63">
        <v>1652.90481475297</v>
      </c>
      <c r="G77" s="63">
        <v>3347444.7685352471</v>
      </c>
      <c r="H77" s="121">
        <f t="shared" si="19"/>
        <v>3349097.6733499998</v>
      </c>
      <c r="I77" s="121">
        <f t="shared" si="20"/>
        <v>119950524.38529299</v>
      </c>
    </row>
    <row r="78" spans="1:9" x14ac:dyDescent="0.25">
      <c r="A78" s="123" t="s">
        <v>185</v>
      </c>
      <c r="B78" s="122"/>
      <c r="C78" s="63">
        <v>8833992.4165496118</v>
      </c>
      <c r="D78" s="63">
        <v>7661081.172631708</v>
      </c>
      <c r="E78" s="121">
        <f t="shared" si="18"/>
        <v>16495073.589181319</v>
      </c>
      <c r="F78" s="63">
        <v>0</v>
      </c>
      <c r="G78" s="63">
        <v>0</v>
      </c>
      <c r="H78" s="121">
        <f t="shared" si="19"/>
        <v>0</v>
      </c>
      <c r="I78" s="121">
        <f t="shared" si="20"/>
        <v>16495073.589181319</v>
      </c>
    </row>
    <row r="79" spans="1:9" x14ac:dyDescent="0.25">
      <c r="A79" s="123" t="s">
        <v>184</v>
      </c>
      <c r="B79" s="122"/>
      <c r="C79" s="63">
        <v>33814263.825337991</v>
      </c>
      <c r="D79" s="63">
        <v>13199221.971701622</v>
      </c>
      <c r="E79" s="121">
        <f t="shared" si="18"/>
        <v>47013485.797039613</v>
      </c>
      <c r="F79" s="63">
        <v>0</v>
      </c>
      <c r="G79" s="63">
        <v>0</v>
      </c>
      <c r="H79" s="121">
        <f t="shared" si="19"/>
        <v>0</v>
      </c>
      <c r="I79" s="121">
        <f t="shared" si="20"/>
        <v>47013485.797039613</v>
      </c>
    </row>
    <row r="80" spans="1:9" x14ac:dyDescent="0.25">
      <c r="A80" s="123" t="s">
        <v>183</v>
      </c>
      <c r="B80" s="122"/>
      <c r="C80" s="63">
        <v>0</v>
      </c>
      <c r="D80" s="63">
        <v>0</v>
      </c>
      <c r="E80" s="121">
        <f t="shared" si="18"/>
        <v>0</v>
      </c>
      <c r="F80" s="63">
        <v>0</v>
      </c>
      <c r="G80" s="63">
        <v>0</v>
      </c>
      <c r="H80" s="121">
        <f t="shared" si="19"/>
        <v>0</v>
      </c>
      <c r="I80" s="121">
        <f t="shared" si="20"/>
        <v>0</v>
      </c>
    </row>
    <row r="81" spans="1:9" x14ac:dyDescent="0.25">
      <c r="A81" s="123" t="s">
        <v>175</v>
      </c>
      <c r="B81" s="122"/>
      <c r="C81" s="63">
        <v>476458.65322279191</v>
      </c>
      <c r="D81" s="63">
        <v>2152873.5448583742</v>
      </c>
      <c r="E81" s="121">
        <f t="shared" si="18"/>
        <v>2629332.198081166</v>
      </c>
      <c r="F81" s="63">
        <v>3.3070717504826601</v>
      </c>
      <c r="G81" s="63">
        <v>46.449343399517304</v>
      </c>
      <c r="H81" s="121">
        <f t="shared" si="19"/>
        <v>49.756415149999967</v>
      </c>
      <c r="I81" s="121">
        <f t="shared" si="20"/>
        <v>2629381.9544963161</v>
      </c>
    </row>
    <row r="82" spans="1:9" x14ac:dyDescent="0.25">
      <c r="A82" s="128"/>
      <c r="B82" s="120"/>
      <c r="C82" s="127"/>
      <c r="D82" s="127"/>
      <c r="E82" s="127"/>
      <c r="F82" s="127"/>
      <c r="G82" s="127"/>
      <c r="H82" s="127"/>
      <c r="I82" s="127"/>
    </row>
    <row r="83" spans="1:9" x14ac:dyDescent="0.25">
      <c r="A83" s="126" t="s">
        <v>40</v>
      </c>
      <c r="B83" s="125"/>
      <c r="C83" s="124">
        <f>SUM(C84:C88)</f>
        <v>39222780.333391577</v>
      </c>
      <c r="D83" s="124">
        <f>SUM(D84:D88)</f>
        <v>40029431.597243764</v>
      </c>
      <c r="E83" s="124">
        <f t="shared" ref="E83:E88" si="21">SUM(C83:D83)</f>
        <v>79252211.930635333</v>
      </c>
      <c r="F83" s="124">
        <f>SUM(F84:F88)</f>
        <v>0</v>
      </c>
      <c r="G83" s="124">
        <f>SUM(G84:G88)</f>
        <v>0</v>
      </c>
      <c r="H83" s="124">
        <f t="shared" ref="H83:H88" si="22">SUM(F83:G83)</f>
        <v>0</v>
      </c>
      <c r="I83" s="124">
        <f t="shared" ref="I83:I88" si="23">E83+H83</f>
        <v>79252211.930635333</v>
      </c>
    </row>
    <row r="84" spans="1:9" x14ac:dyDescent="0.25">
      <c r="A84" s="123" t="s">
        <v>182</v>
      </c>
      <c r="B84" s="122"/>
      <c r="C84" s="63">
        <v>29053201.638845179</v>
      </c>
      <c r="D84" s="63">
        <v>28207832.168106001</v>
      </c>
      <c r="E84" s="121">
        <f t="shared" si="21"/>
        <v>57261033.80695118</v>
      </c>
      <c r="F84" s="63">
        <v>0</v>
      </c>
      <c r="G84" s="63">
        <v>0</v>
      </c>
      <c r="H84" s="121">
        <f t="shared" si="22"/>
        <v>0</v>
      </c>
      <c r="I84" s="121">
        <f t="shared" si="23"/>
        <v>57261033.80695118</v>
      </c>
    </row>
    <row r="85" spans="1:9" x14ac:dyDescent="0.25">
      <c r="A85" s="123" t="s">
        <v>181</v>
      </c>
      <c r="B85" s="122"/>
      <c r="C85" s="63">
        <v>270328.65768970881</v>
      </c>
      <c r="D85" s="63">
        <v>1069672.238444065</v>
      </c>
      <c r="E85" s="121">
        <f t="shared" si="21"/>
        <v>1340000.8961337737</v>
      </c>
      <c r="F85" s="63">
        <v>0</v>
      </c>
      <c r="G85" s="63">
        <v>0</v>
      </c>
      <c r="H85" s="121">
        <f t="shared" si="22"/>
        <v>0</v>
      </c>
      <c r="I85" s="121">
        <f t="shared" si="23"/>
        <v>1340000.8961337737</v>
      </c>
    </row>
    <row r="86" spans="1:9" x14ac:dyDescent="0.25">
      <c r="A86" s="123" t="s">
        <v>180</v>
      </c>
      <c r="B86" s="122"/>
      <c r="C86" s="63">
        <v>1476833.86988982</v>
      </c>
      <c r="D86" s="63">
        <v>775377.92604018096</v>
      </c>
      <c r="E86" s="121">
        <f t="shared" si="21"/>
        <v>2252211.795930001</v>
      </c>
      <c r="F86" s="63">
        <v>0</v>
      </c>
      <c r="G86" s="63">
        <v>0</v>
      </c>
      <c r="H86" s="121">
        <f t="shared" si="22"/>
        <v>0</v>
      </c>
      <c r="I86" s="121">
        <f t="shared" si="23"/>
        <v>2252211.795930001</v>
      </c>
    </row>
    <row r="87" spans="1:9" x14ac:dyDescent="0.25">
      <c r="A87" s="123" t="s">
        <v>179</v>
      </c>
      <c r="B87" s="122"/>
      <c r="C87" s="63">
        <v>2718501.1214705901</v>
      </c>
      <c r="D87" s="63">
        <v>13737537.049619405</v>
      </c>
      <c r="E87" s="121">
        <f t="shared" si="21"/>
        <v>16456038.171089996</v>
      </c>
      <c r="F87" s="63">
        <v>0</v>
      </c>
      <c r="G87" s="63">
        <v>0</v>
      </c>
      <c r="H87" s="121">
        <f t="shared" si="22"/>
        <v>0</v>
      </c>
      <c r="I87" s="121">
        <f t="shared" si="23"/>
        <v>16456038.171089996</v>
      </c>
    </row>
    <row r="88" spans="1:9" x14ac:dyDescent="0.25">
      <c r="A88" s="123" t="s">
        <v>175</v>
      </c>
      <c r="B88" s="122"/>
      <c r="C88" s="63">
        <v>5703915.045496285</v>
      </c>
      <c r="D88" s="63">
        <v>-3760987.7849658905</v>
      </c>
      <c r="E88" s="121">
        <f t="shared" si="21"/>
        <v>1942927.2605303945</v>
      </c>
      <c r="F88" s="63">
        <v>0</v>
      </c>
      <c r="G88" s="63">
        <v>0</v>
      </c>
      <c r="H88" s="121">
        <f t="shared" si="22"/>
        <v>0</v>
      </c>
      <c r="I88" s="121">
        <f t="shared" si="23"/>
        <v>1942927.2605303945</v>
      </c>
    </row>
    <row r="89" spans="1:9" x14ac:dyDescent="0.25">
      <c r="A89" s="128"/>
      <c r="B89" s="120"/>
      <c r="C89" s="127"/>
      <c r="D89" s="127"/>
      <c r="E89" s="127"/>
      <c r="F89" s="127"/>
      <c r="G89" s="127"/>
      <c r="H89" s="127"/>
      <c r="I89" s="127"/>
    </row>
    <row r="90" spans="1:9" x14ac:dyDescent="0.25">
      <c r="A90" s="126" t="s">
        <v>38</v>
      </c>
      <c r="B90" s="125"/>
      <c r="C90" s="124">
        <f>SUM(C91:C94)</f>
        <v>2371290.8554737051</v>
      </c>
      <c r="D90" s="124">
        <f>SUM(D91:D94)</f>
        <v>37056728.104286343</v>
      </c>
      <c r="E90" s="124">
        <f>SUM(C90:D90)</f>
        <v>39428018.959760047</v>
      </c>
      <c r="F90" s="124">
        <f>SUM(F91:F94)</f>
        <v>15961.6523313383</v>
      </c>
      <c r="G90" s="124">
        <f>SUM(G91:G94)</f>
        <v>2768576.5156844603</v>
      </c>
      <c r="H90" s="124">
        <f>SUM(F90:G90)</f>
        <v>2784538.1680157986</v>
      </c>
      <c r="I90" s="124">
        <f>E90+H90</f>
        <v>42212557.127775848</v>
      </c>
    </row>
    <row r="91" spans="1:9" x14ac:dyDescent="0.25">
      <c r="A91" s="123" t="s">
        <v>178</v>
      </c>
      <c r="B91" s="122"/>
      <c r="C91" s="63">
        <v>2371273.9591206303</v>
      </c>
      <c r="D91" s="63">
        <v>36052745.000639416</v>
      </c>
      <c r="E91" s="121">
        <f>SUM(C91:D91)</f>
        <v>38424018.959760047</v>
      </c>
      <c r="F91" s="63">
        <v>15961.6523313383</v>
      </c>
      <c r="G91" s="63">
        <v>2768576.5156844603</v>
      </c>
      <c r="H91" s="121">
        <f>SUM(F91:G91)</f>
        <v>2784538.1680157986</v>
      </c>
      <c r="I91" s="121">
        <f>E91+H91</f>
        <v>41208557.127775848</v>
      </c>
    </row>
    <row r="92" spans="1:9" x14ac:dyDescent="0.25">
      <c r="A92" s="123" t="s">
        <v>177</v>
      </c>
      <c r="B92" s="122"/>
      <c r="C92" s="63">
        <v>0</v>
      </c>
      <c r="D92" s="63">
        <v>0</v>
      </c>
      <c r="E92" s="121">
        <f>SUM(C92:D92)</f>
        <v>0</v>
      </c>
      <c r="F92" s="63">
        <v>0</v>
      </c>
      <c r="G92" s="63">
        <v>0</v>
      </c>
      <c r="H92" s="121">
        <f>SUM(F92:G92)</f>
        <v>0</v>
      </c>
      <c r="I92" s="121">
        <f>E92+H92</f>
        <v>0</v>
      </c>
    </row>
    <row r="93" spans="1:9" x14ac:dyDescent="0.25">
      <c r="A93" s="123" t="s">
        <v>176</v>
      </c>
      <c r="B93" s="122"/>
      <c r="C93" s="63">
        <v>9.1561048213504499</v>
      </c>
      <c r="D93" s="63">
        <v>474090.84389517899</v>
      </c>
      <c r="E93" s="121">
        <f>SUM(C93:D93)</f>
        <v>474100.00000000035</v>
      </c>
      <c r="F93" s="63">
        <v>0</v>
      </c>
      <c r="G93" s="63">
        <v>0</v>
      </c>
      <c r="H93" s="121">
        <f>SUM(F93:G93)</f>
        <v>0</v>
      </c>
      <c r="I93" s="121">
        <f>E93+H93</f>
        <v>474100.00000000035</v>
      </c>
    </row>
    <row r="94" spans="1:9" x14ac:dyDescent="0.25">
      <c r="A94" s="123" t="s">
        <v>175</v>
      </c>
      <c r="B94" s="122"/>
      <c r="C94" s="63">
        <v>7.7402482533777999</v>
      </c>
      <c r="D94" s="63">
        <v>529892.25975174701</v>
      </c>
      <c r="E94" s="121">
        <f>SUM(C94:D94)</f>
        <v>529900.00000000035</v>
      </c>
      <c r="F94" s="63">
        <v>0</v>
      </c>
      <c r="G94" s="63">
        <v>0</v>
      </c>
      <c r="H94" s="121">
        <f>SUM(F94:G94)</f>
        <v>0</v>
      </c>
      <c r="I94" s="121">
        <f>E94+H94</f>
        <v>529900.00000000035</v>
      </c>
    </row>
    <row r="95" spans="1:9" x14ac:dyDescent="0.25">
      <c r="A95" s="120"/>
      <c r="B95" s="120"/>
      <c r="C95" s="120"/>
      <c r="D95" s="120"/>
      <c r="E95" s="120"/>
      <c r="F95" s="120"/>
      <c r="G95" s="120"/>
      <c r="H95" s="120"/>
      <c r="I95" s="120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1" width="12.28515625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23" t="s">
        <v>246</v>
      </c>
      <c r="B1" s="210">
        <v>43830</v>
      </c>
      <c r="C1" s="43"/>
      <c r="D1" s="42"/>
      <c r="E1" s="42"/>
      <c r="F1" s="168"/>
      <c r="G1" s="43"/>
      <c r="H1" s="43"/>
      <c r="I1" s="43"/>
      <c r="J1" s="43"/>
      <c r="K1" s="43"/>
      <c r="L1" s="43"/>
      <c r="M1" s="43"/>
      <c r="N1" s="43"/>
      <c r="O1" s="43"/>
    </row>
    <row r="2" spans="1:15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5">
      <c r="A3" s="39"/>
      <c r="B3" s="227" t="s">
        <v>245</v>
      </c>
      <c r="C3" s="128"/>
      <c r="D3" s="227" t="s">
        <v>244</v>
      </c>
      <c r="E3" s="128"/>
      <c r="F3" s="230" t="s">
        <v>68</v>
      </c>
      <c r="G3" s="231"/>
      <c r="H3" s="52"/>
      <c r="I3" s="234" t="s">
        <v>243</v>
      </c>
      <c r="J3" s="235"/>
      <c r="K3" s="236"/>
      <c r="L3" s="52"/>
      <c r="M3" s="234" t="s">
        <v>242</v>
      </c>
      <c r="N3" s="235"/>
      <c r="O3" s="236"/>
    </row>
    <row r="4" spans="1:15" x14ac:dyDescent="0.25">
      <c r="A4" s="39"/>
      <c r="B4" s="228" t="s">
        <v>241</v>
      </c>
      <c r="C4" s="128"/>
      <c r="D4" s="228"/>
      <c r="E4" s="128"/>
      <c r="F4" s="232"/>
      <c r="G4" s="233"/>
      <c r="H4" s="52"/>
      <c r="I4" s="237"/>
      <c r="J4" s="238"/>
      <c r="K4" s="239"/>
      <c r="L4" s="52"/>
      <c r="M4" s="237"/>
      <c r="N4" s="238"/>
      <c r="O4" s="239"/>
    </row>
    <row r="5" spans="1:15" ht="15.75" thickBot="1" x14ac:dyDescent="0.3">
      <c r="A5" s="39"/>
      <c r="B5" s="229"/>
      <c r="C5" s="128"/>
      <c r="D5" s="229"/>
      <c r="E5" s="128"/>
      <c r="F5" s="167" t="s">
        <v>240</v>
      </c>
      <c r="G5" s="166" t="s">
        <v>239</v>
      </c>
      <c r="H5" s="165"/>
      <c r="I5" s="164" t="s">
        <v>238</v>
      </c>
      <c r="J5" s="163" t="s">
        <v>237</v>
      </c>
      <c r="K5" s="162" t="s">
        <v>236</v>
      </c>
      <c r="L5" s="165"/>
      <c r="M5" s="164" t="s">
        <v>238</v>
      </c>
      <c r="N5" s="163" t="s">
        <v>237</v>
      </c>
      <c r="O5" s="162" t="s">
        <v>236</v>
      </c>
    </row>
    <row r="6" spans="1:15" x14ac:dyDescent="0.25">
      <c r="A6" s="39"/>
      <c r="B6" s="161"/>
      <c r="C6" s="120"/>
      <c r="D6" s="160"/>
      <c r="E6" s="120"/>
      <c r="F6" s="161"/>
      <c r="G6" s="161"/>
      <c r="H6" s="120"/>
      <c r="I6" s="160"/>
      <c r="J6" s="160"/>
      <c r="K6" s="160"/>
      <c r="L6" s="120"/>
      <c r="M6" s="160"/>
      <c r="N6" s="160"/>
      <c r="O6" s="160"/>
    </row>
    <row r="7" spans="1:15" ht="15.75" thickBot="1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21" thickBot="1" x14ac:dyDescent="0.3">
      <c r="A8" s="152" t="s">
        <v>235</v>
      </c>
      <c r="B8" s="158"/>
      <c r="C8" s="158"/>
      <c r="D8" s="158"/>
      <c r="E8" s="158"/>
      <c r="F8" s="158"/>
      <c r="G8" s="158"/>
      <c r="H8" s="159"/>
      <c r="I8" s="158"/>
      <c r="J8" s="158"/>
      <c r="K8" s="158"/>
      <c r="L8" s="159"/>
      <c r="M8" s="158"/>
      <c r="N8" s="158"/>
      <c r="O8" s="158"/>
    </row>
    <row r="9" spans="1:15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x14ac:dyDescent="0.25">
      <c r="A10" s="149" t="s">
        <v>231</v>
      </c>
      <c r="B10" s="143">
        <f>SUM(B18:B21)</f>
        <v>1409113312.4902463</v>
      </c>
      <c r="C10" s="34"/>
      <c r="D10" s="143">
        <f>SUM(D18:D21)</f>
        <v>-1532347.6744056623</v>
      </c>
      <c r="E10" s="34"/>
      <c r="F10" s="143">
        <f>SUM(F18:F21)</f>
        <v>55364432.490235575</v>
      </c>
      <c r="G10" s="155"/>
      <c r="H10" s="52"/>
      <c r="I10" s="143">
        <f>SUM(I18:I21)</f>
        <v>978442593.80247808</v>
      </c>
      <c r="J10" s="143">
        <f>SUM(J18:J21)</f>
        <v>9421220.3448348809</v>
      </c>
      <c r="K10" s="143">
        <f>I10-J10</f>
        <v>969021373.45764315</v>
      </c>
      <c r="L10" s="52"/>
      <c r="M10" s="143">
        <f>B10+F10+I10</f>
        <v>2442920338.7829599</v>
      </c>
      <c r="N10" s="143">
        <f>D10+J10</f>
        <v>7888872.6704292186</v>
      </c>
      <c r="O10" s="143">
        <f>M10-N10</f>
        <v>2435031466.1125307</v>
      </c>
    </row>
    <row r="11" spans="1:15" x14ac:dyDescent="0.25">
      <c r="A11" s="157" t="s">
        <v>234</v>
      </c>
      <c r="B11" s="144">
        <v>2126868.2516807807</v>
      </c>
      <c r="C11" s="34"/>
      <c r="D11" s="144">
        <v>769761.69741783617</v>
      </c>
      <c r="E11" s="34"/>
      <c r="F11" s="144">
        <v>3748763.8549209959</v>
      </c>
      <c r="G11" s="155"/>
      <c r="H11" s="52"/>
      <c r="I11" s="144">
        <v>23190843.154839899</v>
      </c>
      <c r="J11" s="144">
        <v>0</v>
      </c>
      <c r="K11" s="143">
        <f>I11-J11</f>
        <v>23190843.154839899</v>
      </c>
      <c r="L11" s="52"/>
      <c r="M11" s="143">
        <f>B11+F11+I11</f>
        <v>29066475.261441678</v>
      </c>
      <c r="N11" s="143">
        <f>D11+J11</f>
        <v>769761.69741783617</v>
      </c>
      <c r="O11" s="143">
        <f>M11-N11</f>
        <v>28296713.564023841</v>
      </c>
    </row>
    <row r="12" spans="1:15" x14ac:dyDescent="0.25">
      <c r="A12" s="157" t="s">
        <v>233</v>
      </c>
      <c r="B12" s="144">
        <v>-413147.24704562896</v>
      </c>
      <c r="C12" s="34"/>
      <c r="D12" s="144">
        <v>-97843.360064694542</v>
      </c>
      <c r="E12" s="34"/>
      <c r="F12" s="144">
        <v>48132.680985476749</v>
      </c>
      <c r="G12" s="155"/>
      <c r="H12" s="52"/>
      <c r="I12" s="144">
        <v>0</v>
      </c>
      <c r="J12" s="144">
        <v>0</v>
      </c>
      <c r="K12" s="143">
        <f>I12-J12</f>
        <v>0</v>
      </c>
      <c r="L12" s="52"/>
      <c r="M12" s="143">
        <f>B12+F12+I12</f>
        <v>-365014.5660601522</v>
      </c>
      <c r="N12" s="143">
        <f>D12+J12</f>
        <v>-97843.360064694542</v>
      </c>
      <c r="O12" s="143">
        <f>M12-N12</f>
        <v>-267171.20599545765</v>
      </c>
    </row>
    <row r="13" spans="1:15" x14ac:dyDescent="0.25">
      <c r="A13" s="157" t="s">
        <v>232</v>
      </c>
      <c r="B13" s="144">
        <v>886723.05152782437</v>
      </c>
      <c r="C13" s="34"/>
      <c r="D13" s="144">
        <v>-52975.951456072245</v>
      </c>
      <c r="E13" s="34"/>
      <c r="F13" s="144">
        <v>501166.82418544783</v>
      </c>
      <c r="G13" s="155"/>
      <c r="H13" s="52"/>
      <c r="I13" s="144">
        <v>108144.03519</v>
      </c>
      <c r="J13" s="144">
        <v>467002.64464999997</v>
      </c>
      <c r="K13" s="143">
        <f>I13-J13</f>
        <v>-358858.60945999995</v>
      </c>
      <c r="L13" s="52"/>
      <c r="M13" s="143">
        <f>B13+F13+I13</f>
        <v>1496033.9109032722</v>
      </c>
      <c r="N13" s="143">
        <f>D13+J13</f>
        <v>414026.69319392776</v>
      </c>
      <c r="O13" s="143">
        <f>M13-N13</f>
        <v>1082007.2177093443</v>
      </c>
    </row>
    <row r="14" spans="1:15" x14ac:dyDescent="0.25">
      <c r="A14" s="156" t="s">
        <v>0</v>
      </c>
      <c r="B14" s="143">
        <f>SUM(B10:B13)</f>
        <v>1411713756.5464094</v>
      </c>
      <c r="C14" s="34"/>
      <c r="D14" s="143">
        <f>SUM(D10:D13)</f>
        <v>-913405.28850859299</v>
      </c>
      <c r="E14" s="34"/>
      <c r="F14" s="143">
        <f>SUM(F10:F13)</f>
        <v>59662495.850327492</v>
      </c>
      <c r="G14" s="155"/>
      <c r="H14" s="52"/>
      <c r="I14" s="143">
        <f>SUM(I10:I13)</f>
        <v>1001741580.9925079</v>
      </c>
      <c r="J14" s="143">
        <f>SUM(J10:J13)</f>
        <v>9888222.9894848801</v>
      </c>
      <c r="K14" s="143">
        <f>SUM(K10:K13)</f>
        <v>991853358.00302303</v>
      </c>
      <c r="L14" s="52"/>
      <c r="M14" s="143">
        <f>SUM(M10:M13)</f>
        <v>2473117833.389245</v>
      </c>
      <c r="N14" s="143">
        <f>SUM(N10:N13)</f>
        <v>8974817.7009762879</v>
      </c>
      <c r="O14" s="143">
        <f>SUM(O10:O13)</f>
        <v>2464143015.6882687</v>
      </c>
    </row>
    <row r="15" spans="1:15" ht="15.75" thickBot="1" x14ac:dyDescent="0.3">
      <c r="A15" s="154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49"/>
      <c r="O15" s="153"/>
    </row>
    <row r="16" spans="1:15" ht="21" thickBot="1" x14ac:dyDescent="0.3">
      <c r="A16" s="152" t="s">
        <v>231</v>
      </c>
      <c r="B16" s="150"/>
      <c r="C16" s="150"/>
      <c r="D16" s="150"/>
      <c r="E16" s="150"/>
      <c r="F16" s="150"/>
      <c r="G16" s="150"/>
      <c r="H16" s="151"/>
      <c r="I16" s="150"/>
      <c r="J16" s="150"/>
      <c r="K16" s="150"/>
      <c r="L16" s="151"/>
      <c r="M16" s="150"/>
      <c r="N16" s="150"/>
      <c r="O16" s="150"/>
    </row>
    <row r="17" spans="1:15" x14ac:dyDescent="0.25">
      <c r="A17" s="12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x14ac:dyDescent="0.25">
      <c r="A18" s="149" t="s">
        <v>6</v>
      </c>
      <c r="B18" s="147">
        <v>-81645202.637836561</v>
      </c>
      <c r="C18" s="148"/>
      <c r="D18" s="147">
        <v>-2475856.3668485265</v>
      </c>
      <c r="E18" s="148"/>
      <c r="F18" s="147">
        <v>37427410.29846064</v>
      </c>
      <c r="G18" s="146" t="s">
        <v>313</v>
      </c>
      <c r="H18" s="145"/>
      <c r="I18" s="144">
        <v>0</v>
      </c>
      <c r="J18" s="144">
        <v>0</v>
      </c>
      <c r="K18" s="143">
        <f>I18-J18</f>
        <v>0</v>
      </c>
      <c r="L18" s="52"/>
      <c r="M18" s="143">
        <f>B18+F18+I18</f>
        <v>-44217792.339375921</v>
      </c>
      <c r="N18" s="143">
        <f>D18+J18</f>
        <v>-2475856.3668485265</v>
      </c>
      <c r="O18" s="143">
        <f>M18-N18</f>
        <v>-41741935.972527392</v>
      </c>
    </row>
    <row r="19" spans="1:15" x14ac:dyDescent="0.25">
      <c r="A19" s="149" t="s">
        <v>230</v>
      </c>
      <c r="B19" s="147">
        <v>181121212.53549713</v>
      </c>
      <c r="C19" s="148"/>
      <c r="D19" s="147">
        <v>886687.66664817394</v>
      </c>
      <c r="E19" s="148"/>
      <c r="F19" s="147">
        <v>2747714.7326878775</v>
      </c>
      <c r="G19" s="146" t="s">
        <v>313</v>
      </c>
      <c r="H19" s="145"/>
      <c r="I19" s="144">
        <v>241831.94573000001</v>
      </c>
      <c r="J19" s="144">
        <v>241849.94305</v>
      </c>
      <c r="K19" s="143">
        <f>I19-J19</f>
        <v>-17.997319999994943</v>
      </c>
      <c r="L19" s="52"/>
      <c r="M19" s="143">
        <f>B19+F19+I19</f>
        <v>184110759.21391502</v>
      </c>
      <c r="N19" s="143">
        <f>D19+J19</f>
        <v>1128537.6096981741</v>
      </c>
      <c r="O19" s="143">
        <f>M19-N19</f>
        <v>182982221.60421684</v>
      </c>
    </row>
    <row r="20" spans="1:15" x14ac:dyDescent="0.25">
      <c r="A20" s="149" t="s">
        <v>4</v>
      </c>
      <c r="B20" s="147">
        <v>1173962772.3102386</v>
      </c>
      <c r="C20" s="148"/>
      <c r="D20" s="147">
        <v>24536.96219528019</v>
      </c>
      <c r="E20" s="148"/>
      <c r="F20" s="147">
        <v>13167362.176916743</v>
      </c>
      <c r="G20" s="146" t="s">
        <v>313</v>
      </c>
      <c r="H20" s="145"/>
      <c r="I20" s="144">
        <v>974416289.33803141</v>
      </c>
      <c r="J20" s="144">
        <v>9179370.4017848801</v>
      </c>
      <c r="K20" s="143">
        <f>I20-J20</f>
        <v>965236918.93624651</v>
      </c>
      <c r="L20" s="52"/>
      <c r="M20" s="143">
        <f>B20+F20+I20</f>
        <v>2161546423.8251867</v>
      </c>
      <c r="N20" s="143">
        <f>D20+J20</f>
        <v>9203907.363980161</v>
      </c>
      <c r="O20" s="143">
        <f>M20-N20</f>
        <v>2152342516.4612064</v>
      </c>
    </row>
    <row r="21" spans="1:15" x14ac:dyDescent="0.25">
      <c r="A21" s="149" t="s">
        <v>229</v>
      </c>
      <c r="B21" s="147">
        <v>135674530.28234729</v>
      </c>
      <c r="C21" s="148"/>
      <c r="D21" s="147">
        <v>32284.063599410099</v>
      </c>
      <c r="E21" s="148"/>
      <c r="F21" s="147">
        <v>2021945.2821703148</v>
      </c>
      <c r="G21" s="146" t="s">
        <v>313</v>
      </c>
      <c r="H21" s="145"/>
      <c r="I21" s="144">
        <v>3784472.5187167502</v>
      </c>
      <c r="J21" s="144">
        <v>0</v>
      </c>
      <c r="K21" s="143">
        <f>I21-J21</f>
        <v>3784472.5187167502</v>
      </c>
      <c r="L21" s="52"/>
      <c r="M21" s="143">
        <f>B21+F21+I21</f>
        <v>141480948.08323437</v>
      </c>
      <c r="N21" s="143">
        <f>D21+J21</f>
        <v>32284.063599410099</v>
      </c>
      <c r="O21" s="143">
        <f>M21-N21</f>
        <v>141448664.01963496</v>
      </c>
    </row>
    <row r="22" spans="1:15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</row>
    <row r="23" spans="1: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>
      <selection activeCell="D23" sqref="D23"/>
    </sheetView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9.2851562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9.2851562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23" t="s">
        <v>277</v>
      </c>
      <c r="B1" s="209">
        <v>43830</v>
      </c>
      <c r="C1" s="118"/>
      <c r="D1" s="119"/>
      <c r="E1" s="181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</row>
    <row r="3" spans="1:29" x14ac:dyDescent="0.25">
      <c r="A3" s="180"/>
      <c r="B3" s="240" t="s">
        <v>276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 t="s">
        <v>275</v>
      </c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2"/>
    </row>
    <row r="4" spans="1:29" ht="45.75" thickBot="1" x14ac:dyDescent="0.3">
      <c r="A4" s="180"/>
      <c r="B4" s="179" t="s">
        <v>272</v>
      </c>
      <c r="C4" s="178" t="s">
        <v>271</v>
      </c>
      <c r="D4" s="178" t="s">
        <v>270</v>
      </c>
      <c r="E4" s="178" t="s">
        <v>269</v>
      </c>
      <c r="F4" s="178" t="s">
        <v>268</v>
      </c>
      <c r="G4" s="178" t="s">
        <v>12</v>
      </c>
      <c r="H4" s="178" t="s">
        <v>267</v>
      </c>
      <c r="I4" s="178" t="s">
        <v>266</v>
      </c>
      <c r="J4" s="178" t="s">
        <v>265</v>
      </c>
      <c r="K4" s="178" t="s">
        <v>264</v>
      </c>
      <c r="L4" s="178" t="s">
        <v>274</v>
      </c>
      <c r="M4" s="178" t="s">
        <v>273</v>
      </c>
      <c r="N4" s="178" t="s">
        <v>175</v>
      </c>
      <c r="O4" s="178" t="s">
        <v>263</v>
      </c>
      <c r="P4" s="178" t="s">
        <v>262</v>
      </c>
      <c r="Q4" s="178" t="s">
        <v>272</v>
      </c>
      <c r="R4" s="178" t="s">
        <v>271</v>
      </c>
      <c r="S4" s="178" t="s">
        <v>270</v>
      </c>
      <c r="T4" s="178" t="s">
        <v>269</v>
      </c>
      <c r="U4" s="178" t="s">
        <v>268</v>
      </c>
      <c r="V4" s="178" t="s">
        <v>12</v>
      </c>
      <c r="W4" s="178" t="s">
        <v>267</v>
      </c>
      <c r="X4" s="178" t="s">
        <v>266</v>
      </c>
      <c r="Y4" s="178" t="s">
        <v>265</v>
      </c>
      <c r="Z4" s="178" t="s">
        <v>264</v>
      </c>
      <c r="AA4" s="178" t="s">
        <v>175</v>
      </c>
      <c r="AB4" s="178" t="s">
        <v>263</v>
      </c>
      <c r="AC4" s="177" t="s">
        <v>262</v>
      </c>
    </row>
    <row r="5" spans="1:29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</row>
    <row r="6" spans="1:29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</row>
    <row r="7" spans="1:29" ht="15.75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1:29" ht="21" thickBot="1" x14ac:dyDescent="0.3">
      <c r="A8" s="152" t="s">
        <v>235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5"/>
    </row>
    <row r="9" spans="1:29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x14ac:dyDescent="0.25">
      <c r="A10" s="174" t="s">
        <v>231</v>
      </c>
      <c r="B10" s="169">
        <f t="shared" ref="B10:K10" si="0">SUM(B14:B29)</f>
        <v>39416316.382596932</v>
      </c>
      <c r="C10" s="169">
        <f t="shared" si="0"/>
        <v>10451860.790007999</v>
      </c>
      <c r="D10" s="169">
        <f t="shared" si="0"/>
        <v>360314.81405262515</v>
      </c>
      <c r="E10" s="169">
        <f t="shared" si="0"/>
        <v>10044.100036075035</v>
      </c>
      <c r="F10" s="169">
        <f t="shared" si="0"/>
        <v>1409</v>
      </c>
      <c r="G10" s="169">
        <f t="shared" si="0"/>
        <v>267076.00000065344</v>
      </c>
      <c r="H10" s="169">
        <f t="shared" si="0"/>
        <v>812993.17645604175</v>
      </c>
      <c r="I10" s="169">
        <f t="shared" si="0"/>
        <v>8807145.6855096538</v>
      </c>
      <c r="J10" s="169">
        <f t="shared" si="0"/>
        <v>-5991</v>
      </c>
      <c r="K10" s="169">
        <f t="shared" si="0"/>
        <v>61583.572222222225</v>
      </c>
      <c r="L10" s="170"/>
      <c r="M10" s="170"/>
      <c r="N10" s="169">
        <f>SUM(N14:N29)</f>
        <v>-267769.10153808055</v>
      </c>
      <c r="O10" s="169">
        <f>SUM(O14:O29)</f>
        <v>3262765.4156818427</v>
      </c>
      <c r="P10" s="169">
        <f>B10+C10-D10-E10-F10-G10-H10-I10+J10-K10+N10+O10</f>
        <v>42536616.138471425</v>
      </c>
      <c r="Q10" s="169">
        <f t="shared" ref="Q10:AB10" si="1">SUM(Q14:Q29)</f>
        <v>2885567.9999978947</v>
      </c>
      <c r="R10" s="169">
        <f t="shared" si="1"/>
        <v>221747.00000003341</v>
      </c>
      <c r="S10" s="169">
        <f t="shared" si="1"/>
        <v>43785.507136524015</v>
      </c>
      <c r="T10" s="169">
        <f t="shared" si="1"/>
        <v>0</v>
      </c>
      <c r="U10" s="169">
        <f t="shared" si="1"/>
        <v>3</v>
      </c>
      <c r="V10" s="169">
        <f t="shared" si="1"/>
        <v>50367.999999811596</v>
      </c>
      <c r="W10" s="169">
        <f t="shared" si="1"/>
        <v>88348.533884223769</v>
      </c>
      <c r="X10" s="169">
        <f t="shared" si="1"/>
        <v>-11705.999999985099</v>
      </c>
      <c r="Y10" s="169">
        <f t="shared" si="1"/>
        <v>-3113</v>
      </c>
      <c r="Z10" s="169">
        <f t="shared" si="1"/>
        <v>28661</v>
      </c>
      <c r="AA10" s="169">
        <f t="shared" si="1"/>
        <v>-93727.58808395268</v>
      </c>
      <c r="AB10" s="169">
        <f t="shared" si="1"/>
        <v>48858.151829671871</v>
      </c>
      <c r="AC10" s="169">
        <f>Q10+R10-S10-T10-U10-V10-W10-X10+Y10-Z10+AA10+AB10</f>
        <v>2859872.5227230736</v>
      </c>
    </row>
    <row r="11" spans="1:29" ht="15.75" thickBot="1" x14ac:dyDescent="0.3">
      <c r="A11" s="34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</row>
    <row r="12" spans="1:29" ht="21" thickBot="1" x14ac:dyDescent="0.3">
      <c r="A12" s="152" t="s">
        <v>231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2"/>
    </row>
    <row r="13" spans="1:29" x14ac:dyDescent="0.25">
      <c r="A13" s="34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</row>
    <row r="14" spans="1:29" x14ac:dyDescent="0.25">
      <c r="A14" s="149" t="s">
        <v>261</v>
      </c>
      <c r="B14" s="147">
        <v>7382546.778885344</v>
      </c>
      <c r="C14" s="147">
        <v>1847800</v>
      </c>
      <c r="D14" s="147">
        <v>57435.182840000001</v>
      </c>
      <c r="E14" s="147">
        <v>773.10003607503529</v>
      </c>
      <c r="F14" s="147">
        <v>170</v>
      </c>
      <c r="G14" s="147">
        <v>969</v>
      </c>
      <c r="H14" s="147">
        <v>15148.999999899999</v>
      </c>
      <c r="I14" s="147">
        <v>1399575.6855071138</v>
      </c>
      <c r="J14" s="147">
        <v>-3</v>
      </c>
      <c r="K14" s="147">
        <v>10522.572222222221</v>
      </c>
      <c r="L14" s="170"/>
      <c r="M14" s="170"/>
      <c r="N14" s="147">
        <v>-2135.2110750659285</v>
      </c>
      <c r="O14" s="147">
        <v>2338812.2516735927</v>
      </c>
      <c r="P14" s="169">
        <f>B14+C14-D14-E14-F14-G14-H14-I14+J14-K14+N14+O14</f>
        <v>10082426.278878558</v>
      </c>
      <c r="Q14" s="147">
        <v>73286.000000001004</v>
      </c>
      <c r="R14" s="147">
        <v>46263</v>
      </c>
      <c r="S14" s="147">
        <v>830</v>
      </c>
      <c r="T14" s="147">
        <v>0</v>
      </c>
      <c r="U14" s="147">
        <v>3</v>
      </c>
      <c r="V14" s="147">
        <v>2907</v>
      </c>
      <c r="W14" s="147">
        <v>1022</v>
      </c>
      <c r="X14" s="147">
        <v>-35437</v>
      </c>
      <c r="Y14" s="147">
        <v>0</v>
      </c>
      <c r="Z14" s="147">
        <v>680</v>
      </c>
      <c r="AA14" s="147">
        <v>0</v>
      </c>
      <c r="AB14" s="147">
        <v>18585</v>
      </c>
      <c r="AC14" s="169">
        <f>Q14+R14-S14-T14-U14-V14-W14-X14+Y14-Z14+AA14+AB14</f>
        <v>168129.00000000099</v>
      </c>
    </row>
    <row r="15" spans="1:29" x14ac:dyDescent="0.25">
      <c r="A15" s="149" t="s">
        <v>260</v>
      </c>
      <c r="B15" s="147">
        <v>1524071</v>
      </c>
      <c r="C15" s="147">
        <v>803418</v>
      </c>
      <c r="D15" s="147">
        <v>7549</v>
      </c>
      <c r="E15" s="147">
        <v>2</v>
      </c>
      <c r="F15" s="147">
        <v>3</v>
      </c>
      <c r="G15" s="147">
        <v>0</v>
      </c>
      <c r="H15" s="147">
        <v>200</v>
      </c>
      <c r="I15" s="147">
        <v>762216</v>
      </c>
      <c r="J15" s="147">
        <v>0</v>
      </c>
      <c r="K15" s="147">
        <v>2423</v>
      </c>
      <c r="L15" s="170"/>
      <c r="M15" s="170"/>
      <c r="N15" s="147">
        <v>-7226</v>
      </c>
      <c r="O15" s="147">
        <v>16305</v>
      </c>
      <c r="P15" s="169">
        <f>B15+C15-D15-E15-F15-G15-H15-I15+J15-K15+N15+O15</f>
        <v>1564175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69">
        <f>Q15+R15-S15-T15-U15-V15-W15-X15+Y15-Z15+AA15+AB15</f>
        <v>0</v>
      </c>
    </row>
    <row r="16" spans="1:29" x14ac:dyDescent="0.25">
      <c r="A16" s="149" t="s">
        <v>259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</row>
    <row r="17" spans="1:29" x14ac:dyDescent="0.25">
      <c r="A17" s="149" t="s">
        <v>258</v>
      </c>
      <c r="B17" s="147">
        <v>4785815.75</v>
      </c>
      <c r="C17" s="147">
        <v>1688249</v>
      </c>
      <c r="D17" s="147">
        <v>10010</v>
      </c>
      <c r="E17" s="147">
        <v>7715</v>
      </c>
      <c r="F17" s="147">
        <v>415</v>
      </c>
      <c r="G17" s="147">
        <v>619</v>
      </c>
      <c r="H17" s="147">
        <v>0</v>
      </c>
      <c r="I17" s="147">
        <v>1779034</v>
      </c>
      <c r="J17" s="147">
        <v>0</v>
      </c>
      <c r="K17" s="147">
        <v>17223</v>
      </c>
      <c r="L17" s="170"/>
      <c r="M17" s="170"/>
      <c r="N17" s="147">
        <v>64063</v>
      </c>
      <c r="O17" s="147">
        <v>6010</v>
      </c>
      <c r="P17" s="169">
        <f>B17+C17-D17-E17-F17-G17-H17-I17+J17-K17+N17+O17</f>
        <v>4729121.75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1</v>
      </c>
      <c r="Y17" s="147">
        <v>0</v>
      </c>
      <c r="Z17" s="147">
        <v>0</v>
      </c>
      <c r="AA17" s="147">
        <v>0</v>
      </c>
      <c r="AB17" s="147">
        <v>1</v>
      </c>
      <c r="AC17" s="169">
        <f>Q17+R17-S17-T17-U17-V17-W17-X17+Y17-Z17+AA17+AB17</f>
        <v>0</v>
      </c>
    </row>
    <row r="18" spans="1:29" x14ac:dyDescent="0.25">
      <c r="A18" s="149" t="s">
        <v>257</v>
      </c>
      <c r="B18" s="147">
        <v>3929368</v>
      </c>
      <c r="C18" s="147">
        <v>904219</v>
      </c>
      <c r="D18" s="147">
        <v>13113</v>
      </c>
      <c r="E18" s="147">
        <v>961</v>
      </c>
      <c r="F18" s="147">
        <v>742</v>
      </c>
      <c r="G18" s="147">
        <v>0</v>
      </c>
      <c r="H18" s="147">
        <v>8347</v>
      </c>
      <c r="I18" s="147">
        <v>1240438</v>
      </c>
      <c r="J18" s="147">
        <v>0</v>
      </c>
      <c r="K18" s="147">
        <v>29048</v>
      </c>
      <c r="L18" s="170"/>
      <c r="M18" s="170"/>
      <c r="N18" s="147">
        <v>-19130</v>
      </c>
      <c r="O18" s="147">
        <v>-276274.33111030003</v>
      </c>
      <c r="P18" s="169">
        <f>B18+C18-D18-E18-F18-G18-H18-I18+J18-K18+N18+O18</f>
        <v>3245533.6688897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69">
        <f>Q18+R18-S18-T18-U18-V18-W18-X18+Y18-Z18+AA18+AB18</f>
        <v>0</v>
      </c>
    </row>
    <row r="19" spans="1:29" x14ac:dyDescent="0.25">
      <c r="A19" s="149" t="s">
        <v>256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1:29" x14ac:dyDescent="0.25">
      <c r="A20" s="149" t="s">
        <v>255</v>
      </c>
      <c r="B20" s="147">
        <v>10907486.000012569</v>
      </c>
      <c r="C20" s="147">
        <v>3132014</v>
      </c>
      <c r="D20" s="147">
        <v>183713.00000014901</v>
      </c>
      <c r="E20" s="147">
        <v>66</v>
      </c>
      <c r="F20" s="147">
        <v>0</v>
      </c>
      <c r="G20" s="147">
        <v>9852</v>
      </c>
      <c r="H20" s="147">
        <v>9368</v>
      </c>
      <c r="I20" s="147">
        <v>2472258.0000013933</v>
      </c>
      <c r="J20" s="147">
        <v>0</v>
      </c>
      <c r="K20" s="147">
        <v>2173</v>
      </c>
      <c r="L20" s="170"/>
      <c r="M20" s="170"/>
      <c r="N20" s="147">
        <v>-17179</v>
      </c>
      <c r="O20" s="147">
        <v>-444938.00001102674</v>
      </c>
      <c r="P20" s="169">
        <f>B20+C20-D20-E20-F20-G20-H20-I20+J20-K20+N20+O20</f>
        <v>10899953</v>
      </c>
      <c r="Q20" s="147">
        <v>1871.00000000101</v>
      </c>
      <c r="R20" s="147">
        <v>77</v>
      </c>
      <c r="S20" s="147">
        <v>60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44</v>
      </c>
      <c r="AA20" s="147">
        <v>-31</v>
      </c>
      <c r="AB20" s="147">
        <v>0</v>
      </c>
      <c r="AC20" s="169">
        <f>Q20+R20-S20-T20-U20-V20-W20-X20+Y20-Z20+AA20+AB20</f>
        <v>1813.00000000101</v>
      </c>
    </row>
    <row r="21" spans="1:29" x14ac:dyDescent="0.25">
      <c r="A21" s="149" t="s">
        <v>254</v>
      </c>
      <c r="B21" s="147">
        <v>2563871</v>
      </c>
      <c r="C21" s="147">
        <v>1234519</v>
      </c>
      <c r="D21" s="147">
        <v>45622</v>
      </c>
      <c r="E21" s="147">
        <v>83</v>
      </c>
      <c r="F21" s="147">
        <v>0</v>
      </c>
      <c r="G21" s="147">
        <v>5003</v>
      </c>
      <c r="H21" s="147">
        <v>-34</v>
      </c>
      <c r="I21" s="147">
        <v>1076871</v>
      </c>
      <c r="J21" s="147">
        <v>0</v>
      </c>
      <c r="K21" s="147">
        <v>0</v>
      </c>
      <c r="L21" s="170"/>
      <c r="M21" s="170"/>
      <c r="N21" s="147">
        <v>10465</v>
      </c>
      <c r="O21" s="147">
        <v>1452908</v>
      </c>
      <c r="P21" s="169">
        <f>B21+C21-D21-E21-F21-G21-H21-I21+J21-K21+N21+O21</f>
        <v>4134218</v>
      </c>
      <c r="Q21" s="147">
        <v>2530</v>
      </c>
      <c r="R21" s="147">
        <v>365</v>
      </c>
      <c r="S21" s="147">
        <v>257</v>
      </c>
      <c r="T21" s="147">
        <v>0</v>
      </c>
      <c r="U21" s="147">
        <v>0</v>
      </c>
      <c r="V21" s="147">
        <v>0</v>
      </c>
      <c r="W21" s="147">
        <v>1</v>
      </c>
      <c r="X21" s="147">
        <v>0</v>
      </c>
      <c r="Y21" s="147">
        <v>0</v>
      </c>
      <c r="Z21" s="147">
        <v>5</v>
      </c>
      <c r="AA21" s="147">
        <v>-314</v>
      </c>
      <c r="AB21" s="147">
        <v>0</v>
      </c>
      <c r="AC21" s="169">
        <f>Q21+R21-S21-T21-U21-V21-W21-X21+Y21-Z21+AA21+AB21</f>
        <v>2318</v>
      </c>
    </row>
    <row r="22" spans="1:29" x14ac:dyDescent="0.25">
      <c r="A22" s="149" t="s">
        <v>253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</row>
    <row r="23" spans="1:29" x14ac:dyDescent="0.25">
      <c r="A23" s="149" t="s">
        <v>230</v>
      </c>
      <c r="B23" s="147">
        <v>1858.0000000011</v>
      </c>
      <c r="C23" s="147">
        <v>69</v>
      </c>
      <c r="D23" s="147">
        <v>6</v>
      </c>
      <c r="E23" s="147">
        <v>0</v>
      </c>
      <c r="F23" s="147">
        <v>0</v>
      </c>
      <c r="G23" s="147">
        <v>0</v>
      </c>
      <c r="H23" s="147">
        <v>27</v>
      </c>
      <c r="I23" s="147">
        <v>0</v>
      </c>
      <c r="J23" s="147">
        <v>0</v>
      </c>
      <c r="K23" s="147">
        <v>0</v>
      </c>
      <c r="L23" s="170"/>
      <c r="M23" s="170"/>
      <c r="N23" s="147">
        <v>-7</v>
      </c>
      <c r="O23" s="147">
        <v>-1876.999999999</v>
      </c>
      <c r="P23" s="169">
        <f>B23+C23-D23-E23-F23-G23-H23-I23+J23-K23+N23+O23</f>
        <v>10.000000002100023</v>
      </c>
      <c r="Q23" s="147">
        <v>601801.00000000093</v>
      </c>
      <c r="R23" s="147">
        <v>15491</v>
      </c>
      <c r="S23" s="147">
        <v>23348</v>
      </c>
      <c r="T23" s="147">
        <v>0</v>
      </c>
      <c r="U23" s="147">
        <v>0</v>
      </c>
      <c r="V23" s="147">
        <v>507</v>
      </c>
      <c r="W23" s="147">
        <v>1309</v>
      </c>
      <c r="X23" s="147">
        <v>326</v>
      </c>
      <c r="Y23" s="147">
        <v>0</v>
      </c>
      <c r="Z23" s="147">
        <v>1091</v>
      </c>
      <c r="AA23" s="147">
        <v>1</v>
      </c>
      <c r="AB23" s="147">
        <v>131</v>
      </c>
      <c r="AC23" s="169">
        <f>Q23+R23-S23-T23-U23-V23-W23-X23+Y23-Z23+AA23+AB23</f>
        <v>590843.00000000093</v>
      </c>
    </row>
    <row r="24" spans="1:29" x14ac:dyDescent="0.25">
      <c r="A24" s="149" t="s">
        <v>252</v>
      </c>
      <c r="B24" s="147">
        <v>3936684.8536666678</v>
      </c>
      <c r="C24" s="147">
        <v>580402.2900022188</v>
      </c>
      <c r="D24" s="147">
        <v>17502.631211864129</v>
      </c>
      <c r="E24" s="147">
        <v>4</v>
      </c>
      <c r="F24" s="147">
        <v>0</v>
      </c>
      <c r="G24" s="147">
        <v>116792.00000000227</v>
      </c>
      <c r="H24" s="147">
        <v>593011.17645851907</v>
      </c>
      <c r="I24" s="147">
        <v>25061.00000060134</v>
      </c>
      <c r="J24" s="147">
        <v>-515</v>
      </c>
      <c r="K24" s="147">
        <v>8</v>
      </c>
      <c r="L24" s="170"/>
      <c r="M24" s="170"/>
      <c r="N24" s="147">
        <v>-277821.55711950432</v>
      </c>
      <c r="O24" s="147">
        <v>198964.66182320568</v>
      </c>
      <c r="P24" s="169">
        <f>B24+C24-D24-E24-F24-G24-H24-I24+J24-K24+N24+O24</f>
        <v>3685336.440701602</v>
      </c>
      <c r="Q24" s="147">
        <v>1090507.9999963969</v>
      </c>
      <c r="R24" s="147">
        <v>90759.999999960099</v>
      </c>
      <c r="S24" s="147">
        <v>8743.2080804321413</v>
      </c>
      <c r="T24" s="147">
        <v>0</v>
      </c>
      <c r="U24" s="147">
        <v>0</v>
      </c>
      <c r="V24" s="147">
        <v>29159.000000033557</v>
      </c>
      <c r="W24" s="147">
        <v>48249.51953876581</v>
      </c>
      <c r="X24" s="147">
        <v>23411.000000014901</v>
      </c>
      <c r="Y24" s="147">
        <v>-19</v>
      </c>
      <c r="Z24" s="147">
        <v>25607</v>
      </c>
      <c r="AA24" s="147">
        <v>-106907.40719123938</v>
      </c>
      <c r="AB24" s="147">
        <v>28448.43209712379</v>
      </c>
      <c r="AC24" s="169">
        <f>Q24+R24-S24-T24-U24-V24-W24-X24+Y24-Z24+AA24+AB24</f>
        <v>967620.29728299519</v>
      </c>
    </row>
    <row r="25" spans="1:29" x14ac:dyDescent="0.25">
      <c r="A25" s="149" t="s">
        <v>251</v>
      </c>
      <c r="B25" s="147">
        <v>2777548.0000323518</v>
      </c>
      <c r="C25" s="147">
        <v>192619.50000578066</v>
      </c>
      <c r="D25" s="147">
        <v>9503.0000006119844</v>
      </c>
      <c r="E25" s="147">
        <v>55</v>
      </c>
      <c r="F25" s="147">
        <v>0</v>
      </c>
      <c r="G25" s="147">
        <v>56027.000000651147</v>
      </c>
      <c r="H25" s="147">
        <v>88266.999997622683</v>
      </c>
      <c r="I25" s="147">
        <v>6945.0000005438924</v>
      </c>
      <c r="J25" s="147">
        <v>-4357</v>
      </c>
      <c r="K25" s="147">
        <v>0</v>
      </c>
      <c r="L25" s="170"/>
      <c r="M25" s="170"/>
      <c r="N25" s="147">
        <v>-42813.333343510312</v>
      </c>
      <c r="O25" s="147">
        <v>56445.833306367509</v>
      </c>
      <c r="P25" s="169">
        <f>B25+C25-D25-E25-F25-G25-H25-I25+J25-K25+N25+O25</f>
        <v>2818646.00000156</v>
      </c>
      <c r="Q25" s="147">
        <v>496483.00000088487</v>
      </c>
      <c r="R25" s="147">
        <v>22548.000000076208</v>
      </c>
      <c r="S25" s="147">
        <v>1433.2927047122296</v>
      </c>
      <c r="T25" s="147">
        <v>0</v>
      </c>
      <c r="U25" s="147">
        <v>0</v>
      </c>
      <c r="V25" s="147">
        <v>10114.999999778036</v>
      </c>
      <c r="W25" s="147">
        <v>23392.01434514908</v>
      </c>
      <c r="X25" s="147">
        <v>-6</v>
      </c>
      <c r="Y25" s="147">
        <v>-1745</v>
      </c>
      <c r="Z25" s="147">
        <v>1</v>
      </c>
      <c r="AA25" s="147">
        <v>31906.49965965288</v>
      </c>
      <c r="AB25" s="147">
        <v>5914.0328285594878</v>
      </c>
      <c r="AC25" s="169">
        <f>Q25+R25-S25-T25-U25-V25-W25-X25+Y25-Z25+AA25+AB25</f>
        <v>520171.22543953406</v>
      </c>
    </row>
    <row r="26" spans="1:29" x14ac:dyDescent="0.25">
      <c r="A26" s="149" t="s">
        <v>250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</row>
    <row r="27" spans="1:29" x14ac:dyDescent="0.25">
      <c r="A27" s="149" t="s">
        <v>249</v>
      </c>
      <c r="B27" s="147">
        <v>2.0000000000000001E-9</v>
      </c>
      <c r="C27" s="147">
        <v>56</v>
      </c>
      <c r="D27" s="147">
        <v>0</v>
      </c>
      <c r="E27" s="147">
        <v>0</v>
      </c>
      <c r="F27" s="147">
        <v>0</v>
      </c>
      <c r="G27" s="147">
        <v>0</v>
      </c>
      <c r="H27" s="147">
        <v>77</v>
      </c>
      <c r="I27" s="147">
        <v>0</v>
      </c>
      <c r="J27" s="147">
        <v>0</v>
      </c>
      <c r="K27" s="147">
        <v>0</v>
      </c>
      <c r="L27" s="170"/>
      <c r="M27" s="170"/>
      <c r="N27" s="147">
        <v>0</v>
      </c>
      <c r="O27" s="147">
        <v>1140.000000001</v>
      </c>
      <c r="P27" s="169">
        <f>B27+C27-D27-E27-F27-G27-H27-I27+J27-K27+N27+O27</f>
        <v>1119.000000003</v>
      </c>
      <c r="Q27" s="147">
        <v>444385.60379742499</v>
      </c>
      <c r="R27" s="147">
        <v>44209.05597039729</v>
      </c>
      <c r="S27" s="147">
        <v>8148.0063513796404</v>
      </c>
      <c r="T27" s="147">
        <v>0</v>
      </c>
      <c r="U27" s="147">
        <v>0</v>
      </c>
      <c r="V27" s="147">
        <v>901.50297140672706</v>
      </c>
      <c r="W27" s="147">
        <v>12177.000000308873</v>
      </c>
      <c r="X27" s="147">
        <v>0</v>
      </c>
      <c r="Y27" s="147">
        <v>-1190</v>
      </c>
      <c r="Z27" s="147">
        <v>1223</v>
      </c>
      <c r="AA27" s="147">
        <v>-6172.6910521400532</v>
      </c>
      <c r="AB27" s="147">
        <v>48623.686903988586</v>
      </c>
      <c r="AC27" s="169">
        <f>Q27+R27-S27-T27-U27-V27-W27-X27+Y27-Z27+AA27+AB27</f>
        <v>507406.14629657567</v>
      </c>
    </row>
    <row r="28" spans="1:29" x14ac:dyDescent="0.25">
      <c r="A28" s="149" t="s">
        <v>248</v>
      </c>
      <c r="B28" s="147">
        <v>1569731.0000000009</v>
      </c>
      <c r="C28" s="147">
        <v>68495</v>
      </c>
      <c r="D28" s="147">
        <v>15749</v>
      </c>
      <c r="E28" s="147">
        <v>385</v>
      </c>
      <c r="F28" s="147">
        <v>79</v>
      </c>
      <c r="G28" s="147">
        <v>75417</v>
      </c>
      <c r="H28" s="147">
        <v>97511</v>
      </c>
      <c r="I28" s="147">
        <v>44747</v>
      </c>
      <c r="J28" s="147">
        <v>-1115</v>
      </c>
      <c r="K28" s="147">
        <v>186</v>
      </c>
      <c r="L28" s="170"/>
      <c r="M28" s="170"/>
      <c r="N28" s="147">
        <v>23241</v>
      </c>
      <c r="O28" s="147">
        <v>-84740.99999999901</v>
      </c>
      <c r="P28" s="169">
        <f>B28+C28-D28-E28-F28-G28-H28-I28+J28-K28+N28+O28</f>
        <v>1341537.0000000019</v>
      </c>
      <c r="Q28" s="147">
        <v>101209.000000101</v>
      </c>
      <c r="R28" s="147">
        <v>1451</v>
      </c>
      <c r="S28" s="147">
        <v>744</v>
      </c>
      <c r="T28" s="147">
        <v>0</v>
      </c>
      <c r="U28" s="147">
        <v>0</v>
      </c>
      <c r="V28" s="147">
        <v>2846</v>
      </c>
      <c r="W28" s="147">
        <v>881</v>
      </c>
      <c r="X28" s="147">
        <v>-1</v>
      </c>
      <c r="Y28" s="147">
        <v>-159</v>
      </c>
      <c r="Z28" s="147">
        <v>10</v>
      </c>
      <c r="AA28" s="147">
        <v>-2601</v>
      </c>
      <c r="AB28" s="147">
        <v>-52812</v>
      </c>
      <c r="AC28" s="169">
        <f>Q28+R28-S28-T28-U28-V28-W28-X28+Y28-Z28+AA28+AB28</f>
        <v>42608.000000101005</v>
      </c>
    </row>
    <row r="29" spans="1:29" x14ac:dyDescent="0.25">
      <c r="A29" s="149" t="s">
        <v>247</v>
      </c>
      <c r="B29" s="147">
        <v>37336.000000001004</v>
      </c>
      <c r="C29" s="147">
        <v>0</v>
      </c>
      <c r="D29" s="147">
        <v>112</v>
      </c>
      <c r="E29" s="147">
        <v>0</v>
      </c>
      <c r="F29" s="147">
        <v>0</v>
      </c>
      <c r="G29" s="147">
        <v>2397</v>
      </c>
      <c r="H29" s="147">
        <v>1070</v>
      </c>
      <c r="I29" s="147">
        <v>0</v>
      </c>
      <c r="J29" s="147">
        <v>-1</v>
      </c>
      <c r="K29" s="147">
        <v>0</v>
      </c>
      <c r="L29" s="170"/>
      <c r="M29" s="170"/>
      <c r="N29" s="147">
        <v>774</v>
      </c>
      <c r="O29" s="147">
        <v>10.000000000999989</v>
      </c>
      <c r="P29" s="169">
        <f>B29+C29-D29-E29-F29-G29-H29-I29+J29-K29+N29+O29</f>
        <v>34540.000000002001</v>
      </c>
      <c r="Q29" s="147">
        <v>73494.396203084005</v>
      </c>
      <c r="R29" s="147">
        <v>582.94402959981699</v>
      </c>
      <c r="S29" s="147">
        <v>222</v>
      </c>
      <c r="T29" s="147">
        <v>0</v>
      </c>
      <c r="U29" s="147">
        <v>0</v>
      </c>
      <c r="V29" s="147">
        <v>3932.4970285932704</v>
      </c>
      <c r="W29" s="147">
        <v>1317</v>
      </c>
      <c r="X29" s="147">
        <v>0</v>
      </c>
      <c r="Y29" s="147">
        <v>0</v>
      </c>
      <c r="Z29" s="147">
        <v>0</v>
      </c>
      <c r="AA29" s="147">
        <v>-9608.9895002261201</v>
      </c>
      <c r="AB29" s="147">
        <v>-32.999999999996362</v>
      </c>
      <c r="AC29" s="169">
        <f>Q29+R29-S29-T29-U29-V29-W29-X29+Y29-Z29+AA29+AB29</f>
        <v>58963.853703864443</v>
      </c>
    </row>
    <row r="30" spans="1:29" x14ac:dyDescent="0.25">
      <c r="A30" s="10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23" t="s">
        <v>285</v>
      </c>
      <c r="B1" s="209">
        <v>43830</v>
      </c>
      <c r="C1" s="119"/>
      <c r="D1" s="181"/>
      <c r="E1" s="118"/>
      <c r="F1" s="119"/>
      <c r="G1" s="119"/>
      <c r="H1" s="119"/>
      <c r="I1" s="119"/>
      <c r="J1" s="119"/>
    </row>
    <row r="2" spans="1:10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x14ac:dyDescent="0.25">
      <c r="A3" s="100"/>
      <c r="B3" s="240" t="s">
        <v>284</v>
      </c>
      <c r="C3" s="241"/>
      <c r="D3" s="241"/>
      <c r="E3" s="241"/>
      <c r="F3" s="241"/>
      <c r="G3" s="241"/>
      <c r="H3" s="241"/>
      <c r="I3" s="241"/>
      <c r="J3" s="242"/>
    </row>
    <row r="4" spans="1:10" ht="30.75" thickBot="1" x14ac:dyDescent="0.3">
      <c r="A4" s="100"/>
      <c r="B4" s="179" t="s">
        <v>283</v>
      </c>
      <c r="C4" s="178" t="s">
        <v>282</v>
      </c>
      <c r="D4" s="178" t="s">
        <v>281</v>
      </c>
      <c r="E4" s="178" t="s">
        <v>280</v>
      </c>
      <c r="F4" s="178" t="s">
        <v>279</v>
      </c>
      <c r="G4" s="178" t="s">
        <v>274</v>
      </c>
      <c r="H4" s="178" t="s">
        <v>175</v>
      </c>
      <c r="I4" s="178" t="s">
        <v>263</v>
      </c>
      <c r="J4" s="177" t="s">
        <v>278</v>
      </c>
    </row>
    <row r="5" spans="1:10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</row>
    <row r="7" spans="1:10" ht="15.75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</row>
    <row r="8" spans="1:10" ht="21" thickBot="1" x14ac:dyDescent="0.3">
      <c r="A8" s="152" t="s">
        <v>235</v>
      </c>
      <c r="B8" s="173"/>
      <c r="C8" s="173"/>
      <c r="D8" s="173"/>
      <c r="E8" s="173"/>
      <c r="F8" s="173"/>
      <c r="G8" s="173"/>
      <c r="H8" s="173"/>
      <c r="I8" s="173"/>
      <c r="J8" s="172"/>
    </row>
    <row r="9" spans="1:10" x14ac:dyDescent="0.25">
      <c r="A9" s="100"/>
      <c r="B9" s="182"/>
      <c r="C9" s="182"/>
      <c r="D9" s="182"/>
      <c r="E9" s="182"/>
      <c r="F9" s="182"/>
      <c r="G9" s="182"/>
      <c r="H9" s="182"/>
      <c r="I9" s="182"/>
      <c r="J9" s="182"/>
    </row>
    <row r="10" spans="1:10" x14ac:dyDescent="0.25">
      <c r="A10" s="174" t="s">
        <v>231</v>
      </c>
      <c r="B10" s="169">
        <f>SUM(B14:B29)</f>
        <v>72302.000000001004</v>
      </c>
      <c r="C10" s="169">
        <f>SUM(C14:C29)</f>
        <v>18839</v>
      </c>
      <c r="D10" s="169">
        <f>SUM(D14:D29)</f>
        <v>9482</v>
      </c>
      <c r="E10" s="169">
        <f>SUM(E14:E29)</f>
        <v>0</v>
      </c>
      <c r="F10" s="169">
        <f>SUM(F14:F29)</f>
        <v>55</v>
      </c>
      <c r="G10" s="184"/>
      <c r="H10" s="169">
        <f>SUM(H14:H29)</f>
        <v>-93</v>
      </c>
      <c r="I10" s="169">
        <f>SUM(I14:I29)</f>
        <v>-549.01000000000158</v>
      </c>
      <c r="J10" s="183">
        <f>B10+C10-D10+E10+F10+H10+I10</f>
        <v>81071.990000001009</v>
      </c>
    </row>
    <row r="11" spans="1:10" ht="15.75" thickBot="1" x14ac:dyDescent="0.3">
      <c r="A11" s="100"/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ht="21" thickBot="1" x14ac:dyDescent="0.3">
      <c r="A12" s="152" t="s">
        <v>231</v>
      </c>
      <c r="B12" s="186"/>
      <c r="C12" s="186"/>
      <c r="D12" s="186"/>
      <c r="E12" s="186"/>
      <c r="F12" s="186"/>
      <c r="G12" s="186"/>
      <c r="H12" s="186"/>
      <c r="I12" s="186"/>
      <c r="J12" s="185"/>
    </row>
    <row r="13" spans="1:10" x14ac:dyDescent="0.25">
      <c r="A13" s="100"/>
      <c r="B13" s="170"/>
      <c r="C13" s="170"/>
      <c r="D13" s="170"/>
      <c r="E13" s="170"/>
      <c r="F13" s="170"/>
      <c r="G13" s="170"/>
      <c r="H13" s="170"/>
      <c r="I13" s="170"/>
      <c r="J13" s="170"/>
    </row>
    <row r="14" spans="1:10" x14ac:dyDescent="0.25">
      <c r="A14" s="149" t="s">
        <v>261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0" x14ac:dyDescent="0.25">
      <c r="A15" s="149" t="s">
        <v>260</v>
      </c>
      <c r="B15" s="170"/>
      <c r="C15" s="170"/>
      <c r="D15" s="170"/>
      <c r="E15" s="170"/>
      <c r="F15" s="170"/>
      <c r="G15" s="170"/>
      <c r="H15" s="170"/>
      <c r="I15" s="170"/>
      <c r="J15" s="170"/>
    </row>
    <row r="16" spans="1:10" x14ac:dyDescent="0.25">
      <c r="A16" s="149" t="s">
        <v>259</v>
      </c>
      <c r="B16" s="147">
        <v>33564.306113275401</v>
      </c>
      <c r="C16" s="147">
        <v>7769</v>
      </c>
      <c r="D16" s="147">
        <v>6258</v>
      </c>
      <c r="E16" s="147">
        <v>0</v>
      </c>
      <c r="F16" s="147">
        <v>0</v>
      </c>
      <c r="G16" s="184"/>
      <c r="H16" s="147">
        <v>-40</v>
      </c>
      <c r="I16" s="147">
        <v>-2804.01</v>
      </c>
      <c r="J16" s="183">
        <f>B16+C16-D16+E16+F16+H16+I16</f>
        <v>32231.296113275399</v>
      </c>
    </row>
    <row r="17" spans="1:10" x14ac:dyDescent="0.25">
      <c r="A17" s="149" t="s">
        <v>258</v>
      </c>
      <c r="B17" s="170"/>
      <c r="C17" s="170"/>
      <c r="D17" s="170"/>
      <c r="E17" s="170"/>
      <c r="F17" s="170"/>
      <c r="G17" s="170"/>
      <c r="H17" s="170"/>
      <c r="I17" s="170"/>
      <c r="J17" s="170"/>
    </row>
    <row r="18" spans="1:10" x14ac:dyDescent="0.25">
      <c r="A18" s="149" t="s">
        <v>257</v>
      </c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x14ac:dyDescent="0.25">
      <c r="A19" s="149" t="s">
        <v>256</v>
      </c>
      <c r="B19" s="147">
        <v>142</v>
      </c>
      <c r="C19" s="147">
        <v>8393</v>
      </c>
      <c r="D19" s="147">
        <v>1070</v>
      </c>
      <c r="E19" s="147">
        <v>0</v>
      </c>
      <c r="F19" s="147">
        <v>0</v>
      </c>
      <c r="G19" s="184"/>
      <c r="H19" s="147">
        <v>0</v>
      </c>
      <c r="I19" s="147">
        <v>-92</v>
      </c>
      <c r="J19" s="183">
        <f>B19+C19-D19+E19+F19+H19+I19</f>
        <v>7373</v>
      </c>
    </row>
    <row r="20" spans="1:10" x14ac:dyDescent="0.25">
      <c r="A20" s="149" t="s">
        <v>255</v>
      </c>
      <c r="B20" s="170"/>
      <c r="C20" s="170"/>
      <c r="D20" s="170"/>
      <c r="E20" s="170"/>
      <c r="F20" s="170"/>
      <c r="G20" s="170"/>
      <c r="H20" s="170"/>
      <c r="I20" s="170"/>
      <c r="J20" s="170"/>
    </row>
    <row r="21" spans="1:10" x14ac:dyDescent="0.25">
      <c r="A21" s="149" t="s">
        <v>254</v>
      </c>
      <c r="B21" s="170"/>
      <c r="C21" s="170"/>
      <c r="D21" s="170"/>
      <c r="E21" s="170"/>
      <c r="F21" s="170"/>
      <c r="G21" s="170"/>
      <c r="H21" s="170"/>
      <c r="I21" s="170"/>
      <c r="J21" s="170"/>
    </row>
    <row r="22" spans="1:10" x14ac:dyDescent="0.25">
      <c r="A22" s="149" t="s">
        <v>253</v>
      </c>
      <c r="B22" s="147">
        <v>7359</v>
      </c>
      <c r="C22" s="147">
        <v>849</v>
      </c>
      <c r="D22" s="147">
        <v>787</v>
      </c>
      <c r="E22" s="147">
        <v>0</v>
      </c>
      <c r="F22" s="147">
        <v>0</v>
      </c>
      <c r="G22" s="184"/>
      <c r="H22" s="147">
        <v>-7</v>
      </c>
      <c r="I22" s="147">
        <v>3302</v>
      </c>
      <c r="J22" s="183">
        <f>B22+C22-D22+E22+F22+H22+I22</f>
        <v>10716</v>
      </c>
    </row>
    <row r="23" spans="1:10" x14ac:dyDescent="0.25">
      <c r="A23" s="149" t="s">
        <v>230</v>
      </c>
      <c r="B23" s="147">
        <v>2701</v>
      </c>
      <c r="C23" s="147">
        <v>29</v>
      </c>
      <c r="D23" s="147">
        <v>3</v>
      </c>
      <c r="E23" s="147">
        <v>0</v>
      </c>
      <c r="F23" s="147">
        <v>0</v>
      </c>
      <c r="G23" s="184"/>
      <c r="H23" s="147">
        <v>17</v>
      </c>
      <c r="I23" s="147">
        <v>-2.999998990000222</v>
      </c>
      <c r="J23" s="183">
        <f>B23+C23-D23+E23+F23+H23+I23</f>
        <v>2741.0000010099998</v>
      </c>
    </row>
    <row r="24" spans="1:10" x14ac:dyDescent="0.25">
      <c r="A24" s="149" t="s">
        <v>252</v>
      </c>
      <c r="B24" s="170"/>
      <c r="C24" s="170"/>
      <c r="D24" s="170"/>
      <c r="E24" s="170"/>
      <c r="F24" s="170"/>
      <c r="G24" s="170"/>
      <c r="H24" s="170"/>
      <c r="I24" s="170"/>
      <c r="J24" s="170"/>
    </row>
    <row r="25" spans="1:10" x14ac:dyDescent="0.25">
      <c r="A25" s="149" t="s">
        <v>251</v>
      </c>
      <c r="B25" s="170"/>
      <c r="C25" s="170"/>
      <c r="D25" s="170"/>
      <c r="E25" s="170"/>
      <c r="F25" s="170"/>
      <c r="G25" s="170"/>
      <c r="H25" s="170"/>
      <c r="I25" s="170"/>
      <c r="J25" s="170"/>
    </row>
    <row r="26" spans="1:10" x14ac:dyDescent="0.25">
      <c r="A26" s="149" t="s">
        <v>250</v>
      </c>
      <c r="B26" s="147">
        <v>28535.693886725599</v>
      </c>
      <c r="C26" s="147">
        <v>1799</v>
      </c>
      <c r="D26" s="147">
        <v>1364</v>
      </c>
      <c r="E26" s="147">
        <v>0</v>
      </c>
      <c r="F26" s="147">
        <v>55</v>
      </c>
      <c r="G26" s="184"/>
      <c r="H26" s="147">
        <v>-63</v>
      </c>
      <c r="I26" s="147">
        <v>-952.00000101000114</v>
      </c>
      <c r="J26" s="183">
        <f>B26+C26-D26+E26+F26+H26+I26</f>
        <v>28010.693885715598</v>
      </c>
    </row>
    <row r="27" spans="1:10" x14ac:dyDescent="0.25">
      <c r="A27" s="149" t="s">
        <v>249</v>
      </c>
      <c r="B27" s="170"/>
      <c r="C27" s="170"/>
      <c r="D27" s="170"/>
      <c r="E27" s="170"/>
      <c r="F27" s="170"/>
      <c r="G27" s="170"/>
      <c r="H27" s="170"/>
      <c r="I27" s="170"/>
      <c r="J27" s="170"/>
    </row>
    <row r="28" spans="1:10" x14ac:dyDescent="0.25">
      <c r="A28" s="149" t="s">
        <v>248</v>
      </c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0" x14ac:dyDescent="0.25">
      <c r="A29" s="149" t="s">
        <v>247</v>
      </c>
      <c r="B29" s="170"/>
      <c r="C29" s="170"/>
      <c r="D29" s="170"/>
      <c r="E29" s="170"/>
      <c r="F29" s="170"/>
      <c r="G29" s="170"/>
      <c r="H29" s="170"/>
      <c r="I29" s="170"/>
      <c r="J29" s="170"/>
    </row>
    <row r="30" spans="1:10" x14ac:dyDescent="0.25">
      <c r="A30" s="100"/>
      <c r="B30" s="182"/>
      <c r="C30" s="182"/>
      <c r="D30" s="182"/>
      <c r="E30" s="182"/>
      <c r="F30" s="182"/>
      <c r="G30" s="182"/>
      <c r="H30" s="182"/>
      <c r="I30" s="182"/>
      <c r="J30" s="182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2.42578125" bestFit="1" customWidth="1"/>
    <col min="6" max="6" width="16" bestFit="1" customWidth="1"/>
    <col min="7" max="7" width="15.28515625" bestFit="1" customWidth="1"/>
    <col min="8" max="8" width="14" bestFit="1" customWidth="1"/>
    <col min="9" max="9" width="12.8554687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201" t="s">
        <v>304</v>
      </c>
      <c r="B1" s="209">
        <v>43830</v>
      </c>
      <c r="C1" s="119"/>
      <c r="D1" s="118"/>
      <c r="E1" s="181"/>
      <c r="F1" s="119"/>
      <c r="G1" s="119"/>
      <c r="H1" s="119"/>
      <c r="I1" s="119"/>
      <c r="J1" s="119"/>
    </row>
    <row r="2" spans="1:10" ht="15.7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45.75" thickBot="1" x14ac:dyDescent="0.3">
      <c r="A3" s="100"/>
      <c r="B3" s="200" t="s">
        <v>303</v>
      </c>
      <c r="C3" s="199" t="s">
        <v>302</v>
      </c>
      <c r="D3" s="199" t="s">
        <v>301</v>
      </c>
      <c r="E3" s="199" t="s">
        <v>300</v>
      </c>
      <c r="F3" s="199" t="s">
        <v>299</v>
      </c>
      <c r="G3" s="199" t="s">
        <v>298</v>
      </c>
      <c r="H3" s="199" t="s">
        <v>263</v>
      </c>
      <c r="I3" s="198" t="s">
        <v>297</v>
      </c>
      <c r="J3" s="187"/>
    </row>
    <row r="4" spans="1:10" x14ac:dyDescent="0.25">
      <c r="A4" s="193"/>
      <c r="B4" s="192"/>
      <c r="C4" s="192"/>
      <c r="D4" s="192"/>
      <c r="E4" s="192"/>
      <c r="F4" s="192"/>
      <c r="G4" s="192"/>
      <c r="H4" s="192"/>
      <c r="I4" s="192"/>
      <c r="J4" s="187"/>
    </row>
    <row r="5" spans="1:10" x14ac:dyDescent="0.25">
      <c r="A5" s="193"/>
      <c r="B5" s="192"/>
      <c r="C5" s="192"/>
      <c r="D5" s="192"/>
      <c r="E5" s="192"/>
      <c r="F5" s="192"/>
      <c r="G5" s="192"/>
      <c r="H5" s="192"/>
      <c r="I5" s="192"/>
      <c r="J5" s="187"/>
    </row>
    <row r="6" spans="1:10" x14ac:dyDescent="0.25">
      <c r="A6" s="193"/>
      <c r="B6" s="192"/>
      <c r="C6" s="192"/>
      <c r="D6" s="192"/>
      <c r="E6" s="192"/>
      <c r="F6" s="192"/>
      <c r="G6" s="192"/>
      <c r="H6" s="192"/>
      <c r="I6" s="192"/>
      <c r="J6" s="187"/>
    </row>
    <row r="7" spans="1:10" ht="15.75" thickBot="1" x14ac:dyDescent="0.3">
      <c r="A7" s="193"/>
      <c r="B7" s="192"/>
      <c r="C7" s="192"/>
      <c r="D7" s="192"/>
      <c r="E7" s="192"/>
      <c r="F7" s="192"/>
      <c r="G7" s="192"/>
      <c r="H7" s="192"/>
      <c r="I7" s="192"/>
      <c r="J7" s="187"/>
    </row>
    <row r="8" spans="1:10" ht="21" thickBot="1" x14ac:dyDescent="0.3">
      <c r="A8" s="191" t="s">
        <v>235</v>
      </c>
      <c r="B8" s="158"/>
      <c r="C8" s="158"/>
      <c r="D8" s="197"/>
      <c r="E8" s="197"/>
      <c r="F8" s="197"/>
      <c r="G8" s="197"/>
      <c r="H8" s="197"/>
      <c r="I8" s="196"/>
      <c r="J8" s="187"/>
    </row>
    <row r="9" spans="1:10" x14ac:dyDescent="0.25">
      <c r="A9" s="193"/>
      <c r="B9" s="192"/>
      <c r="C9" s="192"/>
      <c r="D9" s="192"/>
      <c r="E9" s="192"/>
      <c r="F9" s="192"/>
      <c r="G9" s="192"/>
      <c r="H9" s="192"/>
      <c r="I9" s="192"/>
      <c r="J9" s="187"/>
    </row>
    <row r="10" spans="1:10" x14ac:dyDescent="0.25">
      <c r="A10" s="193"/>
      <c r="B10" s="192"/>
      <c r="C10" s="192"/>
      <c r="D10" s="192"/>
      <c r="E10" s="192"/>
      <c r="F10" s="192"/>
      <c r="G10" s="192"/>
      <c r="H10" s="192"/>
      <c r="I10" s="192"/>
      <c r="J10" s="187"/>
    </row>
    <row r="11" spans="1:10" x14ac:dyDescent="0.25">
      <c r="A11" s="157" t="s">
        <v>234</v>
      </c>
      <c r="B11" s="188">
        <f t="shared" ref="B11:H11" si="0">SUM(B19:B30)</f>
        <v>5443</v>
      </c>
      <c r="C11" s="188">
        <f t="shared" si="0"/>
        <v>888</v>
      </c>
      <c r="D11" s="188">
        <f t="shared" si="0"/>
        <v>5</v>
      </c>
      <c r="E11" s="188">
        <f t="shared" si="0"/>
        <v>547</v>
      </c>
      <c r="F11" s="188">
        <f t="shared" si="0"/>
        <v>3</v>
      </c>
      <c r="G11" s="188">
        <f t="shared" si="0"/>
        <v>389</v>
      </c>
      <c r="H11" s="188">
        <f t="shared" si="0"/>
        <v>-3284</v>
      </c>
      <c r="I11" s="188">
        <f>B11+C11+D11-E11-F11-G11+H11</f>
        <v>2113</v>
      </c>
      <c r="J11" s="187"/>
    </row>
    <row r="12" spans="1:10" x14ac:dyDescent="0.25">
      <c r="A12" s="157" t="s">
        <v>233</v>
      </c>
      <c r="B12" s="188">
        <f t="shared" ref="B12:H12" si="1">SUM(B34:B45)</f>
        <v>34</v>
      </c>
      <c r="C12" s="188">
        <f t="shared" si="1"/>
        <v>24</v>
      </c>
      <c r="D12" s="188">
        <f t="shared" si="1"/>
        <v>1</v>
      </c>
      <c r="E12" s="188">
        <f t="shared" si="1"/>
        <v>6</v>
      </c>
      <c r="F12" s="188">
        <f t="shared" si="1"/>
        <v>1</v>
      </c>
      <c r="G12" s="188">
        <f t="shared" si="1"/>
        <v>0</v>
      </c>
      <c r="H12" s="188">
        <f t="shared" si="1"/>
        <v>-13</v>
      </c>
      <c r="I12" s="188">
        <f>B12+C12+D12-E12-F12-G12+H12</f>
        <v>39</v>
      </c>
      <c r="J12" s="187"/>
    </row>
    <row r="13" spans="1:10" x14ac:dyDescent="0.25">
      <c r="A13" s="157" t="s">
        <v>232</v>
      </c>
      <c r="B13" s="188">
        <f t="shared" ref="B13:H13" si="2">SUM(B49:B60)</f>
        <v>236</v>
      </c>
      <c r="C13" s="188">
        <f t="shared" si="2"/>
        <v>6</v>
      </c>
      <c r="D13" s="188">
        <f t="shared" si="2"/>
        <v>0</v>
      </c>
      <c r="E13" s="188">
        <f t="shared" si="2"/>
        <v>10</v>
      </c>
      <c r="F13" s="188">
        <f t="shared" si="2"/>
        <v>0</v>
      </c>
      <c r="G13" s="188">
        <f t="shared" si="2"/>
        <v>0</v>
      </c>
      <c r="H13" s="188">
        <f t="shared" si="2"/>
        <v>-8</v>
      </c>
      <c r="I13" s="188">
        <f>B13+C13+D13-E13-F13-G13+H13</f>
        <v>224</v>
      </c>
      <c r="J13" s="187"/>
    </row>
    <row r="14" spans="1:10" x14ac:dyDescent="0.25">
      <c r="A14" s="195" t="s">
        <v>0</v>
      </c>
      <c r="B14" s="194">
        <f t="shared" ref="B14:H14" si="3">SUM(B11:B13)</f>
        <v>5713</v>
      </c>
      <c r="C14" s="194">
        <f t="shared" si="3"/>
        <v>918</v>
      </c>
      <c r="D14" s="194">
        <f t="shared" si="3"/>
        <v>6</v>
      </c>
      <c r="E14" s="194">
        <f t="shared" si="3"/>
        <v>563</v>
      </c>
      <c r="F14" s="194">
        <f t="shared" si="3"/>
        <v>4</v>
      </c>
      <c r="G14" s="194">
        <f t="shared" si="3"/>
        <v>389</v>
      </c>
      <c r="H14" s="194">
        <f t="shared" si="3"/>
        <v>-3305</v>
      </c>
      <c r="I14" s="194">
        <f>B14+C14+D14-E14-F14-G14+H14</f>
        <v>2376</v>
      </c>
      <c r="J14" s="100"/>
    </row>
    <row r="15" spans="1:10" x14ac:dyDescent="0.25">
      <c r="A15" s="193"/>
      <c r="B15" s="192"/>
      <c r="C15" s="192"/>
      <c r="D15" s="192"/>
      <c r="E15" s="192"/>
      <c r="F15" s="192"/>
      <c r="G15" s="192"/>
      <c r="H15" s="192"/>
      <c r="I15" s="192"/>
      <c r="J15" s="192"/>
    </row>
    <row r="16" spans="1:10" ht="15.75" thickBot="1" x14ac:dyDescent="0.3"/>
    <row r="17" spans="1:10" ht="21" thickBot="1" x14ac:dyDescent="0.3">
      <c r="A17" s="191" t="s">
        <v>234</v>
      </c>
      <c r="B17" s="158"/>
      <c r="C17" s="158"/>
      <c r="D17" s="158"/>
      <c r="E17" s="158"/>
      <c r="F17" s="158"/>
      <c r="G17" s="158"/>
      <c r="H17" s="158"/>
      <c r="I17" s="190"/>
      <c r="J17" s="100"/>
    </row>
    <row r="18" spans="1:10" x14ac:dyDescent="0.25">
      <c r="A18" s="189"/>
      <c r="B18" s="161"/>
      <c r="C18" s="161"/>
      <c r="D18" s="161"/>
      <c r="E18" s="161"/>
      <c r="F18" s="161"/>
      <c r="G18" s="161"/>
      <c r="H18" s="161"/>
      <c r="I18" s="161"/>
      <c r="J18" s="161"/>
    </row>
    <row r="19" spans="1:10" x14ac:dyDescent="0.25">
      <c r="A19" s="149" t="s">
        <v>296</v>
      </c>
      <c r="B19" s="147">
        <v>330</v>
      </c>
      <c r="C19" s="147">
        <v>24</v>
      </c>
      <c r="D19" s="147">
        <v>2</v>
      </c>
      <c r="E19" s="147">
        <v>16</v>
      </c>
      <c r="F19" s="147">
        <v>3</v>
      </c>
      <c r="G19" s="147">
        <v>0</v>
      </c>
      <c r="H19" s="147">
        <v>31</v>
      </c>
      <c r="I19" s="188">
        <f t="shared" ref="I19:I30" si="4">B19+C19+D19-E19-F19-G19+H19</f>
        <v>368</v>
      </c>
      <c r="J19" s="100"/>
    </row>
    <row r="20" spans="1:10" x14ac:dyDescent="0.25">
      <c r="A20" s="149" t="s">
        <v>295</v>
      </c>
      <c r="B20" s="147">
        <v>17</v>
      </c>
      <c r="C20" s="147">
        <v>0</v>
      </c>
      <c r="D20" s="147">
        <v>0</v>
      </c>
      <c r="E20" s="147">
        <v>1</v>
      </c>
      <c r="F20" s="147">
        <v>0</v>
      </c>
      <c r="G20" s="147">
        <v>0</v>
      </c>
      <c r="H20" s="147">
        <v>0</v>
      </c>
      <c r="I20" s="188">
        <f t="shared" si="4"/>
        <v>16</v>
      </c>
      <c r="J20" s="100"/>
    </row>
    <row r="21" spans="1:10" x14ac:dyDescent="0.25">
      <c r="A21" s="149" t="s">
        <v>294</v>
      </c>
      <c r="B21" s="147">
        <v>5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4</v>
      </c>
      <c r="I21" s="188">
        <f t="shared" si="4"/>
        <v>9</v>
      </c>
      <c r="J21" s="100"/>
    </row>
    <row r="22" spans="1:10" x14ac:dyDescent="0.25">
      <c r="A22" s="149" t="s">
        <v>293</v>
      </c>
      <c r="B22" s="147">
        <v>3844</v>
      </c>
      <c r="C22" s="147">
        <v>796</v>
      </c>
      <c r="D22" s="147">
        <v>3</v>
      </c>
      <c r="E22" s="147">
        <v>354</v>
      </c>
      <c r="F22" s="147">
        <v>0</v>
      </c>
      <c r="G22" s="147">
        <v>388</v>
      </c>
      <c r="H22" s="147">
        <v>-3323</v>
      </c>
      <c r="I22" s="188">
        <f t="shared" si="4"/>
        <v>578</v>
      </c>
      <c r="J22" s="100"/>
    </row>
    <row r="23" spans="1:10" x14ac:dyDescent="0.25">
      <c r="A23" s="149" t="s">
        <v>292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88">
        <f t="shared" si="4"/>
        <v>0</v>
      </c>
      <c r="J23" s="100"/>
    </row>
    <row r="24" spans="1:10" x14ac:dyDescent="0.25">
      <c r="A24" s="149" t="s">
        <v>291</v>
      </c>
      <c r="B24" s="147">
        <v>58</v>
      </c>
      <c r="C24" s="147">
        <v>7</v>
      </c>
      <c r="D24" s="147">
        <v>0</v>
      </c>
      <c r="E24" s="147">
        <v>0</v>
      </c>
      <c r="F24" s="147">
        <v>0</v>
      </c>
      <c r="G24" s="147">
        <v>0</v>
      </c>
      <c r="H24" s="147">
        <v>-9</v>
      </c>
      <c r="I24" s="188">
        <f t="shared" si="4"/>
        <v>56</v>
      </c>
      <c r="J24" s="100"/>
    </row>
    <row r="25" spans="1:10" x14ac:dyDescent="0.25">
      <c r="A25" s="149" t="s">
        <v>290</v>
      </c>
      <c r="B25" s="147">
        <v>5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88">
        <f t="shared" si="4"/>
        <v>5</v>
      </c>
      <c r="J25" s="100"/>
    </row>
    <row r="26" spans="1:10" x14ac:dyDescent="0.25">
      <c r="A26" s="149" t="s">
        <v>289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  <c r="H26" s="147">
        <v>0</v>
      </c>
      <c r="I26" s="188">
        <f t="shared" si="4"/>
        <v>0</v>
      </c>
      <c r="J26" s="100"/>
    </row>
    <row r="27" spans="1:10" x14ac:dyDescent="0.25">
      <c r="A27" s="149" t="s">
        <v>288</v>
      </c>
      <c r="B27" s="147">
        <v>6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88">
        <f t="shared" si="4"/>
        <v>6</v>
      </c>
      <c r="J27" s="100"/>
    </row>
    <row r="28" spans="1:10" x14ac:dyDescent="0.25">
      <c r="A28" s="149" t="s">
        <v>287</v>
      </c>
      <c r="B28" s="147">
        <v>1177</v>
      </c>
      <c r="C28" s="147">
        <v>61</v>
      </c>
      <c r="D28" s="147">
        <v>0</v>
      </c>
      <c r="E28" s="147">
        <v>176</v>
      </c>
      <c r="F28" s="147">
        <v>0</v>
      </c>
      <c r="G28" s="147">
        <v>1</v>
      </c>
      <c r="H28" s="147">
        <v>13</v>
      </c>
      <c r="I28" s="188">
        <f t="shared" si="4"/>
        <v>1074</v>
      </c>
      <c r="J28" s="100"/>
    </row>
    <row r="29" spans="1:10" x14ac:dyDescent="0.25">
      <c r="A29" s="149" t="s">
        <v>286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  <c r="H29" s="147">
        <v>0</v>
      </c>
      <c r="I29" s="188">
        <f t="shared" si="4"/>
        <v>0</v>
      </c>
      <c r="J29" s="100"/>
    </row>
    <row r="30" spans="1:10" x14ac:dyDescent="0.25">
      <c r="A30" s="149" t="s">
        <v>175</v>
      </c>
      <c r="B30" s="147">
        <v>1</v>
      </c>
      <c r="C30" s="147">
        <v>0</v>
      </c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88">
        <f t="shared" si="4"/>
        <v>1</v>
      </c>
      <c r="J30" s="100"/>
    </row>
    <row r="31" spans="1:10" ht="15.75" thickBot="1" x14ac:dyDescent="0.3">
      <c r="A31" s="100"/>
      <c r="B31" s="100"/>
      <c r="C31" s="100"/>
      <c r="D31" s="100"/>
      <c r="E31" s="187"/>
      <c r="F31" s="187"/>
      <c r="G31" s="187"/>
      <c r="H31" s="187"/>
      <c r="I31" s="187"/>
      <c r="J31" s="100"/>
    </row>
    <row r="32" spans="1:10" ht="21" thickBot="1" x14ac:dyDescent="0.3">
      <c r="A32" s="191" t="s">
        <v>233</v>
      </c>
      <c r="B32" s="158"/>
      <c r="C32" s="158"/>
      <c r="D32" s="158"/>
      <c r="E32" s="158"/>
      <c r="F32" s="158"/>
      <c r="G32" s="158"/>
      <c r="H32" s="158"/>
      <c r="I32" s="190"/>
      <c r="J32" s="100"/>
    </row>
    <row r="33" spans="1:10" x14ac:dyDescent="0.25">
      <c r="A33" s="189"/>
      <c r="B33" s="161"/>
      <c r="C33" s="161"/>
      <c r="D33" s="161"/>
      <c r="E33" s="161"/>
      <c r="F33" s="161"/>
      <c r="G33" s="161"/>
      <c r="H33" s="161"/>
      <c r="I33" s="161"/>
      <c r="J33" s="100"/>
    </row>
    <row r="34" spans="1:10" x14ac:dyDescent="0.25">
      <c r="A34" s="149" t="s">
        <v>296</v>
      </c>
      <c r="B34" s="147">
        <v>20</v>
      </c>
      <c r="C34" s="147">
        <v>2</v>
      </c>
      <c r="D34" s="147">
        <v>1</v>
      </c>
      <c r="E34" s="147">
        <v>0</v>
      </c>
      <c r="F34" s="147">
        <v>0</v>
      </c>
      <c r="G34" s="147">
        <v>0</v>
      </c>
      <c r="H34" s="147">
        <v>0</v>
      </c>
      <c r="I34" s="188">
        <f t="shared" ref="I34:I45" si="5">B34+C34+D34-E34-F34-G34+H34</f>
        <v>23</v>
      </c>
      <c r="J34" s="100"/>
    </row>
    <row r="35" spans="1:10" x14ac:dyDescent="0.25">
      <c r="A35" s="149" t="s">
        <v>295</v>
      </c>
      <c r="B35" s="147">
        <v>0</v>
      </c>
      <c r="C35" s="147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88">
        <f t="shared" si="5"/>
        <v>0</v>
      </c>
      <c r="J35" s="100"/>
    </row>
    <row r="36" spans="1:10" x14ac:dyDescent="0.25">
      <c r="A36" s="149" t="s">
        <v>294</v>
      </c>
      <c r="B36" s="147">
        <v>0</v>
      </c>
      <c r="C36" s="147">
        <v>0</v>
      </c>
      <c r="D36" s="147">
        <v>0</v>
      </c>
      <c r="E36" s="147">
        <v>0</v>
      </c>
      <c r="F36" s="147">
        <v>0</v>
      </c>
      <c r="G36" s="147">
        <v>0</v>
      </c>
      <c r="H36" s="147">
        <v>0</v>
      </c>
      <c r="I36" s="188">
        <f t="shared" si="5"/>
        <v>0</v>
      </c>
      <c r="J36" s="100"/>
    </row>
    <row r="37" spans="1:10" x14ac:dyDescent="0.25">
      <c r="A37" s="149" t="s">
        <v>293</v>
      </c>
      <c r="B37" s="147">
        <v>12</v>
      </c>
      <c r="C37" s="147">
        <v>5</v>
      </c>
      <c r="D37" s="147">
        <v>0</v>
      </c>
      <c r="E37" s="147">
        <v>2</v>
      </c>
      <c r="F37" s="147">
        <v>1</v>
      </c>
      <c r="G37" s="147">
        <v>0</v>
      </c>
      <c r="H37" s="147">
        <v>1</v>
      </c>
      <c r="I37" s="188">
        <f t="shared" si="5"/>
        <v>15</v>
      </c>
      <c r="J37" s="100"/>
    </row>
    <row r="38" spans="1:10" x14ac:dyDescent="0.25">
      <c r="A38" s="149" t="s">
        <v>292</v>
      </c>
      <c r="B38" s="147">
        <v>0</v>
      </c>
      <c r="C38" s="147">
        <v>0</v>
      </c>
      <c r="D38" s="147">
        <v>0</v>
      </c>
      <c r="E38" s="147">
        <v>0</v>
      </c>
      <c r="F38" s="147">
        <v>0</v>
      </c>
      <c r="G38" s="147">
        <v>0</v>
      </c>
      <c r="H38" s="147">
        <v>0</v>
      </c>
      <c r="I38" s="188">
        <f t="shared" si="5"/>
        <v>0</v>
      </c>
      <c r="J38" s="100"/>
    </row>
    <row r="39" spans="1:10" x14ac:dyDescent="0.25">
      <c r="A39" s="149" t="s">
        <v>291</v>
      </c>
      <c r="B39" s="147">
        <v>0</v>
      </c>
      <c r="C39" s="147">
        <v>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88">
        <f t="shared" si="5"/>
        <v>0</v>
      </c>
      <c r="J39" s="100"/>
    </row>
    <row r="40" spans="1:10" x14ac:dyDescent="0.25">
      <c r="A40" s="149" t="s">
        <v>290</v>
      </c>
      <c r="B40" s="147">
        <v>0</v>
      </c>
      <c r="C40" s="147">
        <v>0</v>
      </c>
      <c r="D40" s="147">
        <v>0</v>
      </c>
      <c r="E40" s="147">
        <v>0</v>
      </c>
      <c r="F40" s="147">
        <v>0</v>
      </c>
      <c r="G40" s="147">
        <v>0</v>
      </c>
      <c r="H40" s="147">
        <v>0</v>
      </c>
      <c r="I40" s="188">
        <f t="shared" si="5"/>
        <v>0</v>
      </c>
      <c r="J40" s="100"/>
    </row>
    <row r="41" spans="1:10" x14ac:dyDescent="0.25">
      <c r="A41" s="149" t="s">
        <v>289</v>
      </c>
      <c r="B41" s="147">
        <v>0</v>
      </c>
      <c r="C41" s="147">
        <v>0</v>
      </c>
      <c r="D41" s="147">
        <v>0</v>
      </c>
      <c r="E41" s="147">
        <v>0</v>
      </c>
      <c r="F41" s="147">
        <v>0</v>
      </c>
      <c r="G41" s="147">
        <v>0</v>
      </c>
      <c r="H41" s="147">
        <v>0</v>
      </c>
      <c r="I41" s="188">
        <f t="shared" si="5"/>
        <v>0</v>
      </c>
      <c r="J41" s="100"/>
    </row>
    <row r="42" spans="1:10" x14ac:dyDescent="0.25">
      <c r="A42" s="149" t="s">
        <v>288</v>
      </c>
      <c r="B42" s="147">
        <v>0</v>
      </c>
      <c r="C42" s="147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88">
        <f t="shared" si="5"/>
        <v>0</v>
      </c>
      <c r="J42" s="100"/>
    </row>
    <row r="43" spans="1:10" x14ac:dyDescent="0.25">
      <c r="A43" s="149" t="s">
        <v>287</v>
      </c>
      <c r="B43" s="147">
        <v>0</v>
      </c>
      <c r="C43" s="147">
        <v>17</v>
      </c>
      <c r="D43" s="147">
        <v>0</v>
      </c>
      <c r="E43" s="147">
        <v>4</v>
      </c>
      <c r="F43" s="147">
        <v>0</v>
      </c>
      <c r="G43" s="147">
        <v>0</v>
      </c>
      <c r="H43" s="147">
        <v>-13</v>
      </c>
      <c r="I43" s="188">
        <f t="shared" si="5"/>
        <v>0</v>
      </c>
      <c r="J43" s="100"/>
    </row>
    <row r="44" spans="1:10" x14ac:dyDescent="0.25">
      <c r="A44" s="149" t="s">
        <v>286</v>
      </c>
      <c r="B44" s="147">
        <v>0</v>
      </c>
      <c r="C44" s="147">
        <v>0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88">
        <f t="shared" si="5"/>
        <v>0</v>
      </c>
      <c r="J44" s="100"/>
    </row>
    <row r="45" spans="1:10" x14ac:dyDescent="0.25">
      <c r="A45" s="149" t="s">
        <v>175</v>
      </c>
      <c r="B45" s="147">
        <v>2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-1</v>
      </c>
      <c r="I45" s="188">
        <f t="shared" si="5"/>
        <v>1</v>
      </c>
      <c r="J45" s="100"/>
    </row>
    <row r="46" spans="1:10" ht="15.75" thickBot="1" x14ac:dyDescent="0.3">
      <c r="A46" s="100"/>
      <c r="B46" s="100"/>
      <c r="C46" s="100"/>
      <c r="D46" s="100"/>
      <c r="E46" s="187"/>
      <c r="F46" s="187"/>
      <c r="G46" s="187"/>
      <c r="H46" s="187"/>
      <c r="I46" s="187"/>
      <c r="J46" s="100"/>
    </row>
    <row r="47" spans="1:10" ht="21" thickBot="1" x14ac:dyDescent="0.3">
      <c r="A47" s="191" t="s">
        <v>232</v>
      </c>
      <c r="B47" s="158"/>
      <c r="C47" s="158"/>
      <c r="D47" s="158"/>
      <c r="E47" s="158"/>
      <c r="F47" s="158"/>
      <c r="G47" s="158"/>
      <c r="H47" s="158"/>
      <c r="I47" s="190"/>
      <c r="J47" s="100"/>
    </row>
    <row r="48" spans="1:10" x14ac:dyDescent="0.25">
      <c r="A48" s="189"/>
      <c r="B48" s="161"/>
      <c r="C48" s="161"/>
      <c r="D48" s="161"/>
      <c r="E48" s="161"/>
      <c r="F48" s="161"/>
      <c r="G48" s="161"/>
      <c r="H48" s="161"/>
      <c r="I48" s="161"/>
      <c r="J48" s="100"/>
    </row>
    <row r="49" spans="1:10" x14ac:dyDescent="0.25">
      <c r="A49" s="149" t="s">
        <v>296</v>
      </c>
      <c r="B49" s="147">
        <v>32</v>
      </c>
      <c r="C49" s="147">
        <v>4</v>
      </c>
      <c r="D49" s="147">
        <v>0</v>
      </c>
      <c r="E49" s="147">
        <v>6</v>
      </c>
      <c r="F49" s="147">
        <v>0</v>
      </c>
      <c r="G49" s="147">
        <v>0</v>
      </c>
      <c r="H49" s="147">
        <v>2</v>
      </c>
      <c r="I49" s="188">
        <f t="shared" ref="I49:I60" si="6">B49+C49+D49-E49-F49-G49+H49</f>
        <v>32</v>
      </c>
      <c r="J49" s="100"/>
    </row>
    <row r="50" spans="1:10" x14ac:dyDescent="0.25">
      <c r="A50" s="149" t="s">
        <v>295</v>
      </c>
      <c r="B50" s="147">
        <v>0</v>
      </c>
      <c r="C50" s="147">
        <v>0</v>
      </c>
      <c r="D50" s="147">
        <v>0</v>
      </c>
      <c r="E50" s="147">
        <v>0</v>
      </c>
      <c r="F50" s="147">
        <v>0</v>
      </c>
      <c r="G50" s="147">
        <v>0</v>
      </c>
      <c r="H50" s="147">
        <v>2</v>
      </c>
      <c r="I50" s="188">
        <f t="shared" si="6"/>
        <v>2</v>
      </c>
      <c r="J50" s="100"/>
    </row>
    <row r="51" spans="1:10" x14ac:dyDescent="0.25">
      <c r="A51" s="149" t="s">
        <v>294</v>
      </c>
      <c r="B51" s="147">
        <v>3</v>
      </c>
      <c r="C51" s="147">
        <v>0</v>
      </c>
      <c r="D51" s="147">
        <v>0</v>
      </c>
      <c r="E51" s="147">
        <v>0</v>
      </c>
      <c r="F51" s="147">
        <v>0</v>
      </c>
      <c r="G51" s="147">
        <v>0</v>
      </c>
      <c r="H51" s="147">
        <v>-1</v>
      </c>
      <c r="I51" s="188">
        <f t="shared" si="6"/>
        <v>2</v>
      </c>
      <c r="J51" s="100"/>
    </row>
    <row r="52" spans="1:10" x14ac:dyDescent="0.25">
      <c r="A52" s="149" t="s">
        <v>293</v>
      </c>
      <c r="B52" s="147">
        <v>169</v>
      </c>
      <c r="C52" s="147">
        <v>2</v>
      </c>
      <c r="D52" s="147">
        <v>0</v>
      </c>
      <c r="E52" s="147">
        <v>4</v>
      </c>
      <c r="F52" s="147">
        <v>0</v>
      </c>
      <c r="G52" s="147">
        <v>0</v>
      </c>
      <c r="H52" s="147">
        <v>-11</v>
      </c>
      <c r="I52" s="188">
        <f t="shared" si="6"/>
        <v>156</v>
      </c>
      <c r="J52" s="100"/>
    </row>
    <row r="53" spans="1:10" x14ac:dyDescent="0.25">
      <c r="A53" s="149" t="s">
        <v>292</v>
      </c>
      <c r="B53" s="147">
        <v>0</v>
      </c>
      <c r="C53" s="147">
        <v>0</v>
      </c>
      <c r="D53" s="147">
        <v>0</v>
      </c>
      <c r="E53" s="147">
        <v>0</v>
      </c>
      <c r="F53" s="147">
        <v>0</v>
      </c>
      <c r="G53" s="147">
        <v>0</v>
      </c>
      <c r="H53" s="147">
        <v>0</v>
      </c>
      <c r="I53" s="188">
        <f t="shared" si="6"/>
        <v>0</v>
      </c>
      <c r="J53" s="100"/>
    </row>
    <row r="54" spans="1:10" x14ac:dyDescent="0.25">
      <c r="A54" s="149" t="s">
        <v>291</v>
      </c>
      <c r="B54" s="147">
        <v>26</v>
      </c>
      <c r="C54" s="147">
        <v>0</v>
      </c>
      <c r="D54" s="147">
        <v>0</v>
      </c>
      <c r="E54" s="147">
        <v>0</v>
      </c>
      <c r="F54" s="147">
        <v>0</v>
      </c>
      <c r="G54" s="147">
        <v>0</v>
      </c>
      <c r="H54" s="147">
        <v>0</v>
      </c>
      <c r="I54" s="188">
        <f t="shared" si="6"/>
        <v>26</v>
      </c>
      <c r="J54" s="100"/>
    </row>
    <row r="55" spans="1:10" x14ac:dyDescent="0.25">
      <c r="A55" s="149" t="s">
        <v>290</v>
      </c>
      <c r="B55" s="147">
        <v>1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88">
        <f t="shared" si="6"/>
        <v>1</v>
      </c>
      <c r="J55" s="100"/>
    </row>
    <row r="56" spans="1:10" x14ac:dyDescent="0.25">
      <c r="A56" s="149" t="s">
        <v>289</v>
      </c>
      <c r="B56" s="147">
        <v>2</v>
      </c>
      <c r="C56" s="147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88">
        <f t="shared" si="6"/>
        <v>2</v>
      </c>
      <c r="J56" s="100"/>
    </row>
    <row r="57" spans="1:10" x14ac:dyDescent="0.25">
      <c r="A57" s="149" t="s">
        <v>288</v>
      </c>
      <c r="B57" s="147">
        <v>0</v>
      </c>
      <c r="C57" s="147">
        <v>0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88">
        <f t="shared" si="6"/>
        <v>0</v>
      </c>
      <c r="J57" s="100"/>
    </row>
    <row r="58" spans="1:10" x14ac:dyDescent="0.25">
      <c r="A58" s="149" t="s">
        <v>287</v>
      </c>
      <c r="B58" s="147">
        <v>0</v>
      </c>
      <c r="C58" s="147">
        <v>0</v>
      </c>
      <c r="D58" s="147">
        <v>0</v>
      </c>
      <c r="E58" s="147">
        <v>0</v>
      </c>
      <c r="F58" s="147">
        <v>0</v>
      </c>
      <c r="G58" s="147">
        <v>0</v>
      </c>
      <c r="H58" s="147">
        <v>0</v>
      </c>
      <c r="I58" s="188">
        <f t="shared" si="6"/>
        <v>0</v>
      </c>
      <c r="J58" s="100"/>
    </row>
    <row r="59" spans="1:10" x14ac:dyDescent="0.25">
      <c r="A59" s="149" t="s">
        <v>286</v>
      </c>
      <c r="B59" s="147">
        <v>3</v>
      </c>
      <c r="C59" s="147">
        <v>0</v>
      </c>
      <c r="D59" s="147">
        <v>0</v>
      </c>
      <c r="E59" s="147">
        <v>0</v>
      </c>
      <c r="F59" s="147">
        <v>0</v>
      </c>
      <c r="G59" s="147">
        <v>0</v>
      </c>
      <c r="H59" s="147">
        <v>0</v>
      </c>
      <c r="I59" s="188">
        <f t="shared" si="6"/>
        <v>3</v>
      </c>
      <c r="J59" s="100"/>
    </row>
    <row r="60" spans="1:10" x14ac:dyDescent="0.25">
      <c r="A60" s="149" t="s">
        <v>175</v>
      </c>
      <c r="B60" s="147">
        <v>0</v>
      </c>
      <c r="C60" s="147">
        <v>0</v>
      </c>
      <c r="D60" s="147">
        <v>0</v>
      </c>
      <c r="E60" s="147">
        <v>0</v>
      </c>
      <c r="F60" s="147">
        <v>0</v>
      </c>
      <c r="G60" s="147">
        <v>0</v>
      </c>
      <c r="H60" s="147">
        <v>0</v>
      </c>
      <c r="I60" s="188">
        <f t="shared" si="6"/>
        <v>0</v>
      </c>
      <c r="J60" s="100"/>
    </row>
    <row r="61" spans="1:10" x14ac:dyDescent="0.25">
      <c r="A61" s="100"/>
      <c r="B61" s="100"/>
      <c r="C61" s="100"/>
      <c r="D61" s="100"/>
      <c r="E61" s="187"/>
      <c r="F61" s="187"/>
      <c r="G61" s="187"/>
      <c r="H61" s="187"/>
      <c r="I61" s="187"/>
      <c r="J61" s="100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Sheet</vt:lpstr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Jenny Gage</cp:lastModifiedBy>
  <cp:lastPrinted>2020-03-04T11:32:57Z</cp:lastPrinted>
  <dcterms:created xsi:type="dcterms:W3CDTF">2020-02-25T09:18:03Z</dcterms:created>
  <dcterms:modified xsi:type="dcterms:W3CDTF">2020-03-25T10:25:43Z</dcterms:modified>
</cp:coreProperties>
</file>