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June2023/LISP/"/>
    </mc:Choice>
  </mc:AlternateContent>
  <xr:revisionPtr revIDLastSave="12" documentId="8_{09A7EB62-BA47-4BFB-8D2C-77985388B4BD}" xr6:coauthVersionLast="47" xr6:coauthVersionMax="47" xr10:uidLastSave="{632656E7-4455-46A7-8620-54AA4666CF6A}"/>
  <bookViews>
    <workbookView xWindow="-110" yWindow="-110" windowWidth="19420" windowHeight="10420" tabRatio="755" xr2:uid="{00000000-000D-0000-FFFF-FFFF00000000}"/>
  </bookViews>
  <sheets>
    <sheet name="Summary" sheetId="3" r:id="rId1"/>
    <sheet name="AXF" sheetId="6" r:id="rId2"/>
    <sheet name="Discovery" sheetId="7" r:id="rId3"/>
    <sheet name="FNB" sheetId="8" r:id="rId4"/>
    <sheet name="GlobalAdmin" sheetId="10" r:id="rId5"/>
    <sheet name="Momentum" sheetId="11" r:id="rId6"/>
    <sheet name="NinetyOne" sheetId="22" r:id="rId7"/>
    <sheet name="Peregrine" sheetId="14" r:id="rId8"/>
    <sheet name="Sanlam" sheetId="17" r:id="rId9"/>
  </sheets>
  <definedNames>
    <definedName name="_xlnm.Print_Area" localSheetId="1">AXF!$B$1:$O$80</definedName>
    <definedName name="_xlnm.Print_Area" localSheetId="2">Discovery!$B$1:$O$80</definedName>
    <definedName name="_xlnm.Print_Area" localSheetId="3">FNB!$B$1:$O$80</definedName>
    <definedName name="_xlnm.Print_Area" localSheetId="4">GlobalAdmin!$B$1:$O$80</definedName>
    <definedName name="_xlnm.Print_Area" localSheetId="6">NinetyOne!$B$1:$O$80</definedName>
    <definedName name="_xlnm.Print_Area" localSheetId="7">Peregrine!$B$1:$O$80</definedName>
    <definedName name="_xlnm.Print_Area" localSheetId="8">Sanlam!$B$1:$O$80</definedName>
    <definedName name="_xlnm.Print_Area" localSheetId="0">Summary!$B$1:$O$80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2" i="14" l="1"/>
  <c r="O82" i="8"/>
  <c r="O82" i="6"/>
  <c r="O82" i="22"/>
  <c r="E79" i="22" l="1"/>
  <c r="E76" i="22" s="1"/>
  <c r="O78" i="22"/>
  <c r="O77" i="22"/>
  <c r="N76" i="22"/>
  <c r="M76" i="22"/>
  <c r="L76" i="22"/>
  <c r="K76" i="22"/>
  <c r="J76" i="22"/>
  <c r="I76" i="22"/>
  <c r="I71" i="22" s="1"/>
  <c r="H76" i="22"/>
  <c r="G76" i="22"/>
  <c r="F76" i="22"/>
  <c r="D76" i="22"/>
  <c r="D71" i="22" s="1"/>
  <c r="C76" i="22"/>
  <c r="J75" i="22"/>
  <c r="O75" i="22" s="1"/>
  <c r="O74" i="22"/>
  <c r="O73" i="22"/>
  <c r="N72" i="22"/>
  <c r="M72" i="22"/>
  <c r="L72" i="22"/>
  <c r="K72" i="22"/>
  <c r="K71" i="22" s="1"/>
  <c r="J72" i="22"/>
  <c r="J71" i="22" s="1"/>
  <c r="I72" i="22"/>
  <c r="H72" i="22"/>
  <c r="H71" i="22" s="1"/>
  <c r="G72" i="22"/>
  <c r="G71" i="22" s="1"/>
  <c r="F72" i="22"/>
  <c r="F71" i="22" s="1"/>
  <c r="E72" i="22"/>
  <c r="D72" i="22"/>
  <c r="C72" i="22"/>
  <c r="N71" i="22"/>
  <c r="M71" i="22"/>
  <c r="L71" i="22"/>
  <c r="O69" i="22"/>
  <c r="E69" i="22"/>
  <c r="E68" i="22"/>
  <c r="C68" i="22"/>
  <c r="O67" i="22"/>
  <c r="N66" i="22"/>
  <c r="M66" i="22"/>
  <c r="L66" i="22"/>
  <c r="K66" i="22"/>
  <c r="J66" i="22"/>
  <c r="I66" i="22"/>
  <c r="H66" i="22"/>
  <c r="G66" i="22"/>
  <c r="F66" i="22"/>
  <c r="D66" i="22"/>
  <c r="C66" i="22"/>
  <c r="J65" i="22"/>
  <c r="F65" i="22"/>
  <c r="E65" i="22"/>
  <c r="D65" i="22"/>
  <c r="D62" i="22" s="1"/>
  <c r="D61" i="22" s="1"/>
  <c r="D80" i="22" s="1"/>
  <c r="C65" i="22"/>
  <c r="O65" i="22" s="1"/>
  <c r="K64" i="22"/>
  <c r="K62" i="22" s="1"/>
  <c r="K61" i="22" s="1"/>
  <c r="J64" i="22"/>
  <c r="J62" i="22" s="1"/>
  <c r="J61" i="22" s="1"/>
  <c r="I64" i="22"/>
  <c r="I62" i="22" s="1"/>
  <c r="I61" i="22" s="1"/>
  <c r="I80" i="22" s="1"/>
  <c r="F64" i="22"/>
  <c r="E64" i="22"/>
  <c r="D64" i="22"/>
  <c r="C64" i="22"/>
  <c r="C62" i="22" s="1"/>
  <c r="C61" i="22" s="1"/>
  <c r="O63" i="22"/>
  <c r="N62" i="22"/>
  <c r="M62" i="22"/>
  <c r="L62" i="22"/>
  <c r="L61" i="22" s="1"/>
  <c r="L80" i="22" s="1"/>
  <c r="H62" i="22"/>
  <c r="H61" i="22" s="1"/>
  <c r="H80" i="22" s="1"/>
  <c r="G62" i="22"/>
  <c r="F62" i="22"/>
  <c r="F61" i="22" s="1"/>
  <c r="E62" i="22"/>
  <c r="M61" i="22"/>
  <c r="M80" i="22" s="1"/>
  <c r="O54" i="22"/>
  <c r="O53" i="22"/>
  <c r="O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O51" i="22" s="1"/>
  <c r="O48" i="22"/>
  <c r="O45" i="22"/>
  <c r="K45" i="22"/>
  <c r="K44" i="22"/>
  <c r="C44" i="22"/>
  <c r="O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O39" i="22"/>
  <c r="O35" i="22"/>
  <c r="O34" i="22"/>
  <c r="O33" i="22"/>
  <c r="N32" i="22"/>
  <c r="M32" i="22"/>
  <c r="L32" i="22"/>
  <c r="K32" i="22"/>
  <c r="J32" i="22"/>
  <c r="I32" i="22"/>
  <c r="H32" i="22"/>
  <c r="G32" i="22"/>
  <c r="F32" i="22"/>
  <c r="E32" i="22"/>
  <c r="D32" i="22"/>
  <c r="D36" i="22" s="1"/>
  <c r="C32" i="22"/>
  <c r="F31" i="22"/>
  <c r="O31" i="22" s="1"/>
  <c r="O30" i="22"/>
  <c r="O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O27" i="22"/>
  <c r="K26" i="22"/>
  <c r="O26" i="22" s="1"/>
  <c r="O25" i="22"/>
  <c r="N24" i="22"/>
  <c r="M24" i="22"/>
  <c r="M36" i="22" s="1"/>
  <c r="L24" i="22"/>
  <c r="K24" i="22"/>
  <c r="J24" i="22"/>
  <c r="I24" i="22"/>
  <c r="H24" i="22"/>
  <c r="G24" i="22"/>
  <c r="F24" i="22"/>
  <c r="E24" i="22"/>
  <c r="D24" i="22"/>
  <c r="C24" i="22"/>
  <c r="O23" i="22"/>
  <c r="O22" i="22"/>
  <c r="O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O20" i="22" s="1"/>
  <c r="O19" i="22"/>
  <c r="K18" i="22"/>
  <c r="O18" i="22" s="1"/>
  <c r="O17" i="22"/>
  <c r="N16" i="22"/>
  <c r="M16" i="22"/>
  <c r="L16" i="22"/>
  <c r="J16" i="22"/>
  <c r="I16" i="22"/>
  <c r="H16" i="22"/>
  <c r="G16" i="22"/>
  <c r="F16" i="22"/>
  <c r="E16" i="22"/>
  <c r="D16" i="22"/>
  <c r="C16" i="22"/>
  <c r="D15" i="22"/>
  <c r="O15" i="22" s="1"/>
  <c r="F14" i="22"/>
  <c r="F12" i="22" s="1"/>
  <c r="D14" i="22"/>
  <c r="O14" i="22" s="1"/>
  <c r="O13" i="22"/>
  <c r="N12" i="22"/>
  <c r="M12" i="22"/>
  <c r="L12" i="22"/>
  <c r="K12" i="22"/>
  <c r="J12" i="22"/>
  <c r="I12" i="22"/>
  <c r="H12" i="22"/>
  <c r="G12" i="22"/>
  <c r="E12" i="22"/>
  <c r="D12" i="22"/>
  <c r="C12" i="22"/>
  <c r="K11" i="22"/>
  <c r="J11" i="22"/>
  <c r="I11" i="22"/>
  <c r="H11" i="22"/>
  <c r="H8" i="22" s="1"/>
  <c r="C11" i="22"/>
  <c r="K10" i="22"/>
  <c r="J10" i="22"/>
  <c r="I10" i="22"/>
  <c r="H10" i="22"/>
  <c r="E10" i="22"/>
  <c r="E8" i="22" s="1"/>
  <c r="C10" i="22"/>
  <c r="O10" i="22" s="1"/>
  <c r="O9" i="22"/>
  <c r="N8" i="22"/>
  <c r="M8" i="22"/>
  <c r="L8" i="22"/>
  <c r="I8" i="22"/>
  <c r="G8" i="22"/>
  <c r="F8" i="22"/>
  <c r="D8" i="22"/>
  <c r="E36" i="22" l="1"/>
  <c r="F80" i="22"/>
  <c r="N61" i="22"/>
  <c r="N80" i="22" s="1"/>
  <c r="O72" i="22"/>
  <c r="O24" i="22"/>
  <c r="L36" i="22"/>
  <c r="C36" i="22"/>
  <c r="O11" i="22"/>
  <c r="G36" i="22"/>
  <c r="O12" i="22"/>
  <c r="H36" i="22"/>
  <c r="O36" i="22" s="1"/>
  <c r="C8" i="22"/>
  <c r="K16" i="22"/>
  <c r="I36" i="22"/>
  <c r="O44" i="22"/>
  <c r="O64" i="22"/>
  <c r="J8" i="22"/>
  <c r="J36" i="22" s="1"/>
  <c r="K8" i="22"/>
  <c r="K36" i="22" s="1"/>
  <c r="O16" i="22"/>
  <c r="O42" i="22"/>
  <c r="E66" i="22"/>
  <c r="E61" i="22" s="1"/>
  <c r="E80" i="22" s="1"/>
  <c r="G61" i="22"/>
  <c r="G80" i="22" s="1"/>
  <c r="F36" i="22"/>
  <c r="O28" i="22"/>
  <c r="N36" i="22"/>
  <c r="O76" i="22"/>
  <c r="E71" i="22"/>
  <c r="J80" i="22"/>
  <c r="K80" i="22"/>
  <c r="O8" i="22"/>
  <c r="O62" i="22"/>
  <c r="O68" i="22"/>
  <c r="O32" i="22"/>
  <c r="O79" i="22"/>
  <c r="C71" i="22"/>
  <c r="O66" i="22" l="1"/>
  <c r="O61" i="22"/>
  <c r="O71" i="22"/>
  <c r="C80" i="22"/>
  <c r="O80" i="22" s="1"/>
  <c r="O79" i="14" l="1"/>
  <c r="O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O74" i="14"/>
  <c r="O73" i="14"/>
  <c r="N72" i="14"/>
  <c r="M72" i="14"/>
  <c r="M71" i="14" s="1"/>
  <c r="L72" i="14"/>
  <c r="K72" i="14"/>
  <c r="K71" i="14" s="1"/>
  <c r="J72" i="14"/>
  <c r="J71" i="14" s="1"/>
  <c r="I72" i="14"/>
  <c r="I71" i="14" s="1"/>
  <c r="H72" i="14"/>
  <c r="G72" i="14"/>
  <c r="F72" i="14"/>
  <c r="E72" i="14"/>
  <c r="D72" i="14"/>
  <c r="D71" i="14" s="1"/>
  <c r="C72" i="14"/>
  <c r="N71" i="14"/>
  <c r="L71" i="14"/>
  <c r="G71" i="14"/>
  <c r="F71" i="14"/>
  <c r="E71" i="14"/>
  <c r="O69" i="14"/>
  <c r="O68" i="14"/>
  <c r="O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O64" i="14"/>
  <c r="O63" i="14"/>
  <c r="N62" i="14"/>
  <c r="N61" i="14" s="1"/>
  <c r="N80" i="14" s="1"/>
  <c r="M62" i="14"/>
  <c r="M61" i="14" s="1"/>
  <c r="L62" i="14"/>
  <c r="L61" i="14" s="1"/>
  <c r="L80" i="14" s="1"/>
  <c r="K62" i="14"/>
  <c r="J62" i="14"/>
  <c r="I62" i="14"/>
  <c r="H62" i="14"/>
  <c r="G62" i="14"/>
  <c r="F62" i="14"/>
  <c r="F61" i="14" s="1"/>
  <c r="E62" i="14"/>
  <c r="E61" i="14" s="1"/>
  <c r="E80" i="14" s="1"/>
  <c r="D62" i="14"/>
  <c r="D61" i="14" s="1"/>
  <c r="C62" i="14"/>
  <c r="C61" i="14" s="1"/>
  <c r="K61" i="14"/>
  <c r="J61" i="14"/>
  <c r="G61" i="14"/>
  <c r="O54" i="14"/>
  <c r="O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48" i="14"/>
  <c r="O45" i="14"/>
  <c r="O44" i="14"/>
  <c r="O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O39" i="14"/>
  <c r="O35" i="14"/>
  <c r="O34" i="14"/>
  <c r="O33" i="14"/>
  <c r="N32" i="14"/>
  <c r="M32" i="14"/>
  <c r="L32" i="14"/>
  <c r="K32" i="14"/>
  <c r="J32" i="14"/>
  <c r="I32" i="14"/>
  <c r="H32" i="14"/>
  <c r="G32" i="14"/>
  <c r="F32" i="14"/>
  <c r="E32" i="14"/>
  <c r="E36" i="14" s="1"/>
  <c r="D32" i="14"/>
  <c r="C32" i="14"/>
  <c r="O31" i="14"/>
  <c r="O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O26" i="14"/>
  <c r="O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O22" i="14"/>
  <c r="O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O19" i="14"/>
  <c r="O18" i="14"/>
  <c r="O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O15" i="14"/>
  <c r="O14" i="14"/>
  <c r="O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O11" i="14"/>
  <c r="O10" i="14"/>
  <c r="O9" i="14"/>
  <c r="N8" i="14"/>
  <c r="M8" i="14"/>
  <c r="L8" i="14"/>
  <c r="K8" i="14"/>
  <c r="J8" i="14"/>
  <c r="I8" i="14"/>
  <c r="H8" i="14"/>
  <c r="G8" i="14"/>
  <c r="F8" i="14"/>
  <c r="E8" i="14"/>
  <c r="D8" i="14"/>
  <c r="C8" i="14"/>
  <c r="D80" i="14" l="1"/>
  <c r="D36" i="14"/>
  <c r="G80" i="14"/>
  <c r="J80" i="14"/>
  <c r="F36" i="14"/>
  <c r="G36" i="14"/>
  <c r="O42" i="14"/>
  <c r="O24" i="14"/>
  <c r="I36" i="14"/>
  <c r="J36" i="14"/>
  <c r="O72" i="14"/>
  <c r="M80" i="14"/>
  <c r="H36" i="14"/>
  <c r="K36" i="14"/>
  <c r="O51" i="14"/>
  <c r="F80" i="14"/>
  <c r="O12" i="14"/>
  <c r="O28" i="14"/>
  <c r="L36" i="14"/>
  <c r="O20" i="14"/>
  <c r="M36" i="14"/>
  <c r="H61" i="14"/>
  <c r="H80" i="14" s="1"/>
  <c r="O66" i="14"/>
  <c r="O76" i="14"/>
  <c r="O8" i="14"/>
  <c r="N36" i="14"/>
  <c r="I61" i="14"/>
  <c r="O16" i="14"/>
  <c r="O32" i="14"/>
  <c r="H71" i="14"/>
  <c r="K80" i="14"/>
  <c r="I80" i="14"/>
  <c r="C36" i="14"/>
  <c r="O36" i="14" s="1"/>
  <c r="O62" i="14"/>
  <c r="C71" i="14"/>
  <c r="O71" i="14" s="1"/>
  <c r="O61" i="14" l="1"/>
  <c r="C80" i="14"/>
  <c r="O80" i="14" s="1"/>
  <c r="O48" i="11" l="1"/>
  <c r="O39" i="11"/>
  <c r="I82" i="8" l="1"/>
  <c r="H82" i="8"/>
  <c r="C82" i="8"/>
  <c r="C79" i="8"/>
  <c r="O79" i="8" s="1"/>
  <c r="O78" i="8"/>
  <c r="O77" i="8"/>
  <c r="N76" i="8"/>
  <c r="N71" i="8" s="1"/>
  <c r="M76" i="8"/>
  <c r="L76" i="8"/>
  <c r="K76" i="8"/>
  <c r="J76" i="8"/>
  <c r="I76" i="8"/>
  <c r="H76" i="8"/>
  <c r="G76" i="8"/>
  <c r="F76" i="8"/>
  <c r="F71" i="8" s="1"/>
  <c r="E76" i="8"/>
  <c r="E71" i="8" s="1"/>
  <c r="D76" i="8"/>
  <c r="D71" i="8" s="1"/>
  <c r="C76" i="8"/>
  <c r="H75" i="8"/>
  <c r="H72" i="8" s="1"/>
  <c r="H71" i="8" s="1"/>
  <c r="C75" i="8"/>
  <c r="O74" i="8"/>
  <c r="H73" i="8"/>
  <c r="C73" i="8"/>
  <c r="C72" i="8" s="1"/>
  <c r="N72" i="8"/>
  <c r="M72" i="8"/>
  <c r="M71" i="8" s="1"/>
  <c r="L72" i="8"/>
  <c r="K72" i="8"/>
  <c r="K71" i="8" s="1"/>
  <c r="J72" i="8"/>
  <c r="J71" i="8" s="1"/>
  <c r="I72" i="8"/>
  <c r="I71" i="8" s="1"/>
  <c r="G72" i="8"/>
  <c r="G71" i="8" s="1"/>
  <c r="F72" i="8"/>
  <c r="E72" i="8"/>
  <c r="D72" i="8"/>
  <c r="I69" i="8"/>
  <c r="H69" i="8"/>
  <c r="H66" i="8" s="1"/>
  <c r="C69" i="8"/>
  <c r="O68" i="8"/>
  <c r="O67" i="8"/>
  <c r="H67" i="8"/>
  <c r="C67" i="8"/>
  <c r="N66" i="8"/>
  <c r="M66" i="8"/>
  <c r="L66" i="8"/>
  <c r="K66" i="8"/>
  <c r="J66" i="8"/>
  <c r="I66" i="8"/>
  <c r="G66" i="8"/>
  <c r="F66" i="8"/>
  <c r="E66" i="8"/>
  <c r="E61" i="8" s="1"/>
  <c r="D66" i="8"/>
  <c r="D61" i="8" s="1"/>
  <c r="D80" i="8" s="1"/>
  <c r="H65" i="8"/>
  <c r="C65" i="8"/>
  <c r="O65" i="8" s="1"/>
  <c r="O64" i="8"/>
  <c r="H63" i="8"/>
  <c r="H62" i="8" s="1"/>
  <c r="H61" i="8" s="1"/>
  <c r="C63" i="8"/>
  <c r="C62" i="8" s="1"/>
  <c r="N62" i="8"/>
  <c r="N61" i="8" s="1"/>
  <c r="M62" i="8"/>
  <c r="M61" i="8" s="1"/>
  <c r="M80" i="8" s="1"/>
  <c r="L62" i="8"/>
  <c r="K62" i="8"/>
  <c r="J62" i="8"/>
  <c r="I62" i="8"/>
  <c r="I61" i="8" s="1"/>
  <c r="G62" i="8"/>
  <c r="F62" i="8"/>
  <c r="E62" i="8"/>
  <c r="D62" i="8"/>
  <c r="K61" i="8"/>
  <c r="O54" i="8"/>
  <c r="O53" i="8"/>
  <c r="I52" i="8"/>
  <c r="I51" i="8" s="1"/>
  <c r="H52" i="8"/>
  <c r="H51" i="8" s="1"/>
  <c r="C52" i="8"/>
  <c r="N51" i="8"/>
  <c r="M51" i="8"/>
  <c r="L51" i="8"/>
  <c r="K51" i="8"/>
  <c r="J51" i="8"/>
  <c r="G51" i="8"/>
  <c r="F51" i="8"/>
  <c r="E51" i="8"/>
  <c r="D51" i="8"/>
  <c r="O48" i="8"/>
  <c r="O45" i="8"/>
  <c r="O44" i="8"/>
  <c r="O43" i="8"/>
  <c r="N42" i="8"/>
  <c r="M42" i="8"/>
  <c r="L42" i="8"/>
  <c r="K42" i="8"/>
  <c r="J42" i="8"/>
  <c r="I42" i="8"/>
  <c r="H42" i="8"/>
  <c r="G42" i="8"/>
  <c r="O42" i="8" s="1"/>
  <c r="F42" i="8"/>
  <c r="E42" i="8"/>
  <c r="D42" i="8"/>
  <c r="C42" i="8"/>
  <c r="O39" i="8"/>
  <c r="O35" i="8"/>
  <c r="O34" i="8"/>
  <c r="O33" i="8"/>
  <c r="N32" i="8"/>
  <c r="M32" i="8"/>
  <c r="L32" i="8"/>
  <c r="L36" i="8" s="1"/>
  <c r="K32" i="8"/>
  <c r="K36" i="8" s="1"/>
  <c r="J32" i="8"/>
  <c r="I32" i="8"/>
  <c r="H32" i="8"/>
  <c r="G32" i="8"/>
  <c r="F32" i="8"/>
  <c r="E32" i="8"/>
  <c r="D32" i="8"/>
  <c r="C32" i="8"/>
  <c r="O31" i="8"/>
  <c r="O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O26" i="8"/>
  <c r="O25" i="8"/>
  <c r="N24" i="8"/>
  <c r="M24" i="8"/>
  <c r="L24" i="8"/>
  <c r="K24" i="8"/>
  <c r="J24" i="8"/>
  <c r="I24" i="8"/>
  <c r="H24" i="8"/>
  <c r="G24" i="8"/>
  <c r="F24" i="8"/>
  <c r="E24" i="8"/>
  <c r="O24" i="8" s="1"/>
  <c r="D24" i="8"/>
  <c r="C24" i="8"/>
  <c r="O23" i="8"/>
  <c r="O22" i="8"/>
  <c r="O21" i="8"/>
  <c r="N20" i="8"/>
  <c r="M20" i="8"/>
  <c r="L20" i="8"/>
  <c r="K20" i="8"/>
  <c r="J20" i="8"/>
  <c r="I20" i="8"/>
  <c r="H20" i="8"/>
  <c r="G20" i="8"/>
  <c r="F20" i="8"/>
  <c r="E20" i="8"/>
  <c r="D20" i="8"/>
  <c r="C20" i="8"/>
  <c r="O19" i="8"/>
  <c r="O18" i="8"/>
  <c r="O17" i="8"/>
  <c r="N16" i="8"/>
  <c r="M16" i="8"/>
  <c r="L16" i="8"/>
  <c r="K16" i="8"/>
  <c r="J16" i="8"/>
  <c r="I16" i="8"/>
  <c r="H16" i="8"/>
  <c r="G16" i="8"/>
  <c r="F16" i="8"/>
  <c r="E16" i="8"/>
  <c r="D16" i="8"/>
  <c r="C16" i="8"/>
  <c r="O15" i="8"/>
  <c r="O14" i="8"/>
  <c r="O13" i="8"/>
  <c r="N12" i="8"/>
  <c r="M12" i="8"/>
  <c r="L12" i="8"/>
  <c r="K12" i="8"/>
  <c r="J12" i="8"/>
  <c r="I12" i="8"/>
  <c r="H12" i="8"/>
  <c r="G12" i="8"/>
  <c r="F12" i="8"/>
  <c r="E12" i="8"/>
  <c r="D12" i="8"/>
  <c r="C12" i="8"/>
  <c r="I11" i="8"/>
  <c r="H11" i="8"/>
  <c r="C11" i="8"/>
  <c r="O10" i="8"/>
  <c r="H9" i="8"/>
  <c r="H8" i="8" s="1"/>
  <c r="C9" i="8"/>
  <c r="O9" i="8" s="1"/>
  <c r="N8" i="8"/>
  <c r="M8" i="8"/>
  <c r="L8" i="8"/>
  <c r="K8" i="8"/>
  <c r="J8" i="8"/>
  <c r="I8" i="8"/>
  <c r="G8" i="8"/>
  <c r="F8" i="8"/>
  <c r="E8" i="8"/>
  <c r="D8" i="8"/>
  <c r="C8" i="8"/>
  <c r="E80" i="8" l="1"/>
  <c r="O69" i="8"/>
  <c r="C36" i="8"/>
  <c r="J61" i="8"/>
  <c r="O32" i="8"/>
  <c r="O28" i="8"/>
  <c r="O8" i="8"/>
  <c r="F36" i="8"/>
  <c r="L61" i="8"/>
  <c r="O16" i="8"/>
  <c r="G36" i="8"/>
  <c r="O12" i="8"/>
  <c r="O20" i="8"/>
  <c r="H36" i="8"/>
  <c r="F61" i="8"/>
  <c r="I36" i="8"/>
  <c r="G61" i="8"/>
  <c r="G80" i="8" s="1"/>
  <c r="L71" i="8"/>
  <c r="I80" i="8"/>
  <c r="N36" i="8"/>
  <c r="D36" i="8"/>
  <c r="O36" i="8" s="1"/>
  <c r="O11" i="8"/>
  <c r="M36" i="8"/>
  <c r="J36" i="8"/>
  <c r="O52" i="8"/>
  <c r="O75" i="8"/>
  <c r="F80" i="8"/>
  <c r="N80" i="8"/>
  <c r="O62" i="8"/>
  <c r="H80" i="8"/>
  <c r="K80" i="8"/>
  <c r="J80" i="8"/>
  <c r="O72" i="8"/>
  <c r="C71" i="8"/>
  <c r="O71" i="8" s="1"/>
  <c r="L80" i="8"/>
  <c r="E36" i="8"/>
  <c r="C66" i="8"/>
  <c r="O66" i="8" s="1"/>
  <c r="O73" i="8"/>
  <c r="O76" i="8"/>
  <c r="O63" i="8"/>
  <c r="C51" i="8"/>
  <c r="O51" i="8" s="1"/>
  <c r="O79" i="6"/>
  <c r="O78" i="6"/>
  <c r="O77" i="6"/>
  <c r="N76" i="6"/>
  <c r="N71" i="6" s="1"/>
  <c r="M76" i="6"/>
  <c r="M71" i="6" s="1"/>
  <c r="L76" i="6"/>
  <c r="K76" i="6"/>
  <c r="J76" i="6"/>
  <c r="I76" i="6"/>
  <c r="H76" i="6"/>
  <c r="G76" i="6"/>
  <c r="F76" i="6"/>
  <c r="E76" i="6"/>
  <c r="D76" i="6"/>
  <c r="C76" i="6"/>
  <c r="O75" i="6"/>
  <c r="O74" i="6"/>
  <c r="O73" i="6"/>
  <c r="N72" i="6"/>
  <c r="M72" i="6"/>
  <c r="L72" i="6"/>
  <c r="K72" i="6"/>
  <c r="J72" i="6"/>
  <c r="J71" i="6" s="1"/>
  <c r="I72" i="6"/>
  <c r="I71" i="6" s="1"/>
  <c r="H72" i="6"/>
  <c r="H71" i="6" s="1"/>
  <c r="G72" i="6"/>
  <c r="G71" i="6" s="1"/>
  <c r="F72" i="6"/>
  <c r="F71" i="6" s="1"/>
  <c r="E72" i="6"/>
  <c r="E71" i="6" s="1"/>
  <c r="D72" i="6"/>
  <c r="D71" i="6" s="1"/>
  <c r="C72" i="6"/>
  <c r="L71" i="6"/>
  <c r="K71" i="6"/>
  <c r="C71" i="6"/>
  <c r="O69" i="6"/>
  <c r="O68" i="6"/>
  <c r="O67" i="6"/>
  <c r="N66" i="6"/>
  <c r="M66" i="6"/>
  <c r="L66" i="6"/>
  <c r="K66" i="6"/>
  <c r="J66" i="6"/>
  <c r="I66" i="6"/>
  <c r="H66" i="6"/>
  <c r="G66" i="6"/>
  <c r="F66" i="6"/>
  <c r="E66" i="6"/>
  <c r="E61" i="6" s="1"/>
  <c r="D66" i="6"/>
  <c r="C66" i="6"/>
  <c r="O65" i="6"/>
  <c r="O64" i="6"/>
  <c r="O63" i="6"/>
  <c r="N62" i="6"/>
  <c r="N61" i="6" s="1"/>
  <c r="M62" i="6"/>
  <c r="M61" i="6" s="1"/>
  <c r="M80" i="6" s="1"/>
  <c r="L62" i="6"/>
  <c r="L61" i="6" s="1"/>
  <c r="L80" i="6" s="1"/>
  <c r="K62" i="6"/>
  <c r="K61" i="6" s="1"/>
  <c r="K80" i="6" s="1"/>
  <c r="J62" i="6"/>
  <c r="J61" i="6" s="1"/>
  <c r="I62" i="6"/>
  <c r="I61" i="6" s="1"/>
  <c r="H62" i="6"/>
  <c r="H61" i="6" s="1"/>
  <c r="G62" i="6"/>
  <c r="F62" i="6"/>
  <c r="E62" i="6"/>
  <c r="D62" i="6"/>
  <c r="D61" i="6" s="1"/>
  <c r="C62" i="6"/>
  <c r="C61" i="6"/>
  <c r="O54" i="6"/>
  <c r="O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48" i="6"/>
  <c r="O45" i="6"/>
  <c r="O44" i="6"/>
  <c r="O43" i="6"/>
  <c r="N42" i="6"/>
  <c r="M42" i="6"/>
  <c r="L42" i="6"/>
  <c r="K42" i="6"/>
  <c r="J42" i="6"/>
  <c r="I42" i="6"/>
  <c r="H42" i="6"/>
  <c r="G42" i="6"/>
  <c r="F42" i="6"/>
  <c r="E42" i="6"/>
  <c r="D42" i="6"/>
  <c r="C42" i="6"/>
  <c r="O39" i="6"/>
  <c r="O35" i="6"/>
  <c r="O34" i="6"/>
  <c r="O33" i="6"/>
  <c r="N32" i="6"/>
  <c r="M32" i="6"/>
  <c r="L32" i="6"/>
  <c r="K32" i="6"/>
  <c r="J32" i="6"/>
  <c r="I32" i="6"/>
  <c r="H32" i="6"/>
  <c r="G32" i="6"/>
  <c r="F32" i="6"/>
  <c r="E32" i="6"/>
  <c r="E36" i="6" s="1"/>
  <c r="D32" i="6"/>
  <c r="D36" i="6" s="1"/>
  <c r="C32" i="6"/>
  <c r="O31" i="6"/>
  <c r="O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O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3" i="6"/>
  <c r="O22" i="6"/>
  <c r="O21" i="6"/>
  <c r="N20" i="6"/>
  <c r="M20" i="6"/>
  <c r="L20" i="6"/>
  <c r="K20" i="6"/>
  <c r="J20" i="6"/>
  <c r="I20" i="6"/>
  <c r="H20" i="6"/>
  <c r="G20" i="6"/>
  <c r="F20" i="6"/>
  <c r="E20" i="6"/>
  <c r="D20" i="6"/>
  <c r="C20" i="6"/>
  <c r="O19" i="6"/>
  <c r="O18" i="6"/>
  <c r="O17" i="6"/>
  <c r="N16" i="6"/>
  <c r="M16" i="6"/>
  <c r="L16" i="6"/>
  <c r="K16" i="6"/>
  <c r="J16" i="6"/>
  <c r="I16" i="6"/>
  <c r="H16" i="6"/>
  <c r="G16" i="6"/>
  <c r="F16" i="6"/>
  <c r="E16" i="6"/>
  <c r="D16" i="6"/>
  <c r="C16" i="6"/>
  <c r="O15" i="6"/>
  <c r="O14" i="6"/>
  <c r="O13" i="6"/>
  <c r="N12" i="6"/>
  <c r="M12" i="6"/>
  <c r="L12" i="6"/>
  <c r="K12" i="6"/>
  <c r="J12" i="6"/>
  <c r="I12" i="6"/>
  <c r="H12" i="6"/>
  <c r="G12" i="6"/>
  <c r="F12" i="6"/>
  <c r="E12" i="6"/>
  <c r="D12" i="6"/>
  <c r="C12" i="6"/>
  <c r="O11" i="6"/>
  <c r="O10" i="6"/>
  <c r="O9" i="6"/>
  <c r="N8" i="6"/>
  <c r="M8" i="6"/>
  <c r="L8" i="6"/>
  <c r="K8" i="6"/>
  <c r="J8" i="6"/>
  <c r="I8" i="6"/>
  <c r="H8" i="6"/>
  <c r="F8" i="6"/>
  <c r="E8" i="6"/>
  <c r="D8" i="6"/>
  <c r="C8" i="6"/>
  <c r="E80" i="6" l="1"/>
  <c r="D80" i="6"/>
  <c r="H80" i="6"/>
  <c r="H36" i="6"/>
  <c r="O66" i="6"/>
  <c r="O20" i="6"/>
  <c r="O24" i="6"/>
  <c r="I36" i="6"/>
  <c r="I80" i="6"/>
  <c r="O76" i="6"/>
  <c r="J36" i="6"/>
  <c r="N80" i="6"/>
  <c r="K36" i="6"/>
  <c r="O51" i="6"/>
  <c r="O12" i="6"/>
  <c r="O28" i="6"/>
  <c r="L36" i="6"/>
  <c r="G36" i="6"/>
  <c r="O8" i="6"/>
  <c r="M36" i="6"/>
  <c r="F36" i="6"/>
  <c r="O42" i="6"/>
  <c r="N36" i="6"/>
  <c r="O61" i="6"/>
  <c r="F61" i="6"/>
  <c r="F80" i="6" s="1"/>
  <c r="O16" i="6"/>
  <c r="O32" i="6"/>
  <c r="G61" i="6"/>
  <c r="G80" i="6" s="1"/>
  <c r="O72" i="6"/>
  <c r="C61" i="8"/>
  <c r="J80" i="6"/>
  <c r="O71" i="6"/>
  <c r="C36" i="6"/>
  <c r="O62" i="6"/>
  <c r="C80" i="6"/>
  <c r="O80" i="6" s="1"/>
  <c r="O36" i="6" l="1"/>
  <c r="O61" i="8"/>
  <c r="C80" i="8"/>
  <c r="O8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B82C7C49-20B7-4B28-B468-159911B776E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607FF6E4-8DF8-4A06-AEFC-C2FCDB3E474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59B15981-4E4E-4152-AEEC-0CC79485A13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067E69E7-9629-47BE-AA85-693EC991ED8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5F20F934-5E73-486A-8274-0A166478963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1B3AE371-AE04-48FC-AC78-B2AD46E1864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34EBAFD1-D93F-43B2-97BB-19EDA3D28C1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340DC5CA-2CAD-413C-BD1A-D0288A0924D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751B6786-E238-4584-8B47-2D767E46679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4FA2586F-69B0-4ED1-B50C-6C360D00DAA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259B7222-F49B-4068-88A8-AD732203592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E759B80D-9D27-44DB-B3B2-A7CF54BA272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69A52D37-4A07-4C47-838B-94A9643CD71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A57C1635-3FB7-485B-B236-6E04588EA70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6B10A427-BF20-42D5-909C-FA285F91ADA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C9B4E7CC-CCDE-4CE6-B54E-95024845214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2F9CFDDF-6F70-4DD7-8362-E23F686A28B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14B135FD-95FF-42A7-871B-1299929BFF8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4B706BD3-A215-47A1-8526-EF9FC17344F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A4FB08BB-0AA6-4553-9D64-E9DF3260712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31999505-766D-456A-B524-3AD882C4B2C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63FDE611-91B3-4B6C-B4F2-B6FAA2E231E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15B8E1FF-4ADD-4064-9199-D68CF579BBA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F9A6D3FC-1D5E-4876-90E2-C4BE1C0B083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27D5E9E7-655B-4A77-86BA-3442C178F6D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7C1241DA-05F0-49F6-A849-9A275B3AAAD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EA29607D-FA17-4570-BF45-D434DD856DE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9C7D85EF-AC8F-4471-8967-B76CF7BA953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93077A30-3067-4C47-96B8-408CF03CCB7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9E4529AB-BC4B-4CEE-B34C-45437109EE6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704B4248-4582-45D1-A6D3-8EC0966FB2A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D00A0471-FC31-4980-8B3F-BE5BBA09F7B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B5C759EC-9270-4B9D-BB2C-AF2CAAE751A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F1BE4208-788A-4C0A-8835-AC3F3C7BDD4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C110431F-976A-4CD1-A199-08E06BCFCD4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0914CAE2-AD92-4CD5-B68B-79B13D45385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0D397B80-C788-492F-AB54-764A82ED331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E4C7DBF4-C072-41FB-A5EA-6588243DF3C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32F6DDD9-308A-4B92-8566-C6C37CE003C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64A65FCF-77F0-472A-81F4-E8FB083B600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510B1981-D218-43F8-AC74-54F81372C65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CD78BC44-618A-400A-A914-914DBEAD463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36551DEF-D374-4B02-A305-2AF32977CE9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5CD44405-F9C6-4BB5-9EE9-1C907D9A6B1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B8482497-762D-44B3-86C7-08B2BC8A8EE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39BF1F01-D545-46F1-9D32-9500FB1D86D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04A41196-B911-45F1-A412-A3B327608DE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031981C8-BAB9-477E-AE21-4F030DD8050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8F6175F3-E1AA-4831-82D6-165395A627A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00727BB8-F74A-433C-A10C-C7B13CB42AF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EB0856B6-9A98-4CD6-BC92-51B4B6DC035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C493C4D1-13FF-4956-AAF8-17110653D9E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731D586C-CAA2-4C8D-A14D-5422998DD44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D0F16678-2494-4A57-8A03-5FAD2724582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16CF006E-403E-4A59-B443-39256721466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E99F1DA5-D412-46CE-984F-4666E2CD194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AA8C48B8-2F1C-4A1C-A3BA-1775F2B7792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9D1D7915-6197-4083-996C-F267E7988C5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86F10ADC-9218-41D7-900B-020A3CA7651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B8518DAC-29A8-43EF-9873-9357090356D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D9AD256D-1A9F-4B9F-A943-A6FB2DF365D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538C5966-F707-47F0-8D71-69D7E936605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3E30590B-27DF-4972-ACCB-99CB6B4DC1B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8FE5890B-F9E3-4F05-BA2D-793457B94E5E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A34196A9-88BB-47BD-9A4C-AAD158D77D8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BCC96B5D-6F93-4C5C-BB03-4881A88CDF9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61E2F9A2-45F3-489E-9D25-0DF0FAA0A0F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442F78A4-A253-4561-A1F5-DD3A0FD7C33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2DCBA5D3-58E7-400F-AE23-84DB58CE0BF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DB340503-33E4-41EA-95D9-3A239B76E6F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D01B8D51-3790-4BA9-A355-48C40CD282B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6413F1AB-55BF-4EC5-B0B3-8BF20077763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7A367F3E-EBCF-4976-8A0D-DED9AF2EC39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A29D343B-7F31-4EBD-BBC3-9D5F0AF079C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E1F567DB-96BC-4442-93F6-3168856CA7D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1B867671-B265-4E2F-AB18-81FA86AB2B5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734776AE-D323-48CB-8964-12B7ECDC3B1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341F093A-D2EE-4577-BDE4-C71F6CBCDBC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C0413582-44B5-4607-8499-266CBF9678B2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BBEAD2B8-267A-4AF3-8B6B-B740412DED7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AAF5CD40-0581-4BCE-937D-685DBA94C46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39B93ED0-DC55-4188-9C0A-5A2455EDC18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C57086AC-991C-4EB8-963E-91A6A1005B1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EFFD4CF7-A222-4314-BFBE-C054A96CA43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1C42B54A-00FA-41A6-974E-0D059E16C50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0C9E3F4B-EB81-4893-84D3-B3C7E3CB807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04F4EBDC-42BE-4C84-BE19-99CC12F2C5B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701C63CA-FF42-4EBB-9CC8-430D6953324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3602C866-AD0B-4CF1-AEC6-C6CC4F7DA70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5C2648A8-A359-4D37-9640-722241101D5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5A9F5C8A-1CA0-45E0-80BC-C654018DF22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9F610702-A62C-4C94-A20E-12BC69C996D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4130AA44-27AC-4249-8C13-84E718192D8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B1297495-0D06-4850-8C0C-25E43D0956F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8A72E53D-415D-4F40-88BE-13FE6FA8C9E3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3198D335-DDBA-48B8-B86E-8F894C8A6F64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0767AE8A-C4A2-4B2F-9A53-F53D6C98217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311D3B38-E638-4A37-903C-26A4EFCCFD0C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61BA2534-EA88-4F1C-B314-DBFE8BACB84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2B51E29B-AE37-4398-A26A-B663483A19B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0DE0D487-635A-4BAA-AA76-B133D4E557B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A5006E31-2490-4701-822C-71E1B28A339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CEDCE7EB-F8AE-4C16-91DE-70A85E7D1948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AA4302DE-F794-476E-A952-470ADE429409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66290486-FA34-4B4A-A31C-933B4616E28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Sunette Mulder</author>
  </authors>
  <commentList>
    <comment ref="B5" authorId="0" shapeId="0" xr:uid="{66B39FCF-4830-41B1-ACFC-A0CA8BD66B8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Everything that falls under a Cat IIA license</t>
        </r>
      </text>
    </comment>
    <comment ref="F7" authorId="0" shapeId="0" xr:uid="{79EF6095-0F4E-41BE-8A81-913BBEB365E5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Sitting on an offshore license
</t>
        </r>
      </text>
    </comment>
    <comment ref="B9" authorId="0" shapeId="0" xr:uid="{BD294B5F-C9AF-41B4-A8AF-2C42AD558EE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3" authorId="0" shapeId="0" xr:uid="{F542FF31-D274-4D0D-B42E-3CE407B293F0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17" authorId="0" shapeId="0" xr:uid="{4846968F-2C65-4D82-B068-9E51CC4D594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1" authorId="0" shapeId="0" xr:uid="{64842E6C-C335-49F7-A1A6-234413550D3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5" authorId="0" shapeId="0" xr:uid="{C732C2AF-6D19-42B6-8093-7EB045351C4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29" authorId="0" shapeId="0" xr:uid="{5360B182-4A6B-41A4-A1BF-E86C298BA8C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33" authorId="0" shapeId="0" xr:uid="{2D840B6A-7697-40C5-8D67-027F5D3931F6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43" authorId="0" shapeId="0" xr:uid="{A7B60B26-1D77-4AD3-B46A-37F7B3708581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52" authorId="0" shapeId="0" xr:uid="{155AAC38-9A80-4D0E-AD05-69B5DE727BBA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3" authorId="0" shapeId="0" xr:uid="{722A6260-A03C-4D3A-B2CA-07F426236957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67" authorId="0" shapeId="0" xr:uid="{6E665319-8E74-472B-9D22-A5B5E5B4C71F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3" authorId="0" shapeId="0" xr:uid="{9FFBAD47-4672-4C6C-B1F4-CF125238425D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  <comment ref="B77" authorId="0" shapeId="0" xr:uid="{4F8777F0-078C-4699-8782-C5ED80F2B5FB}">
      <text>
        <r>
          <rPr>
            <b/>
            <sz val="9"/>
            <color indexed="81"/>
            <rFont val="Tahoma"/>
            <family val="2"/>
          </rPr>
          <t>Sunette Mulder:</t>
        </r>
        <r>
          <rPr>
            <sz val="9"/>
            <color indexed="81"/>
            <rFont val="Tahoma"/>
            <family val="2"/>
          </rPr>
          <t xml:space="preserve">
Contractually required to write at least 50% of business to a specific company, irrespective of having an own license</t>
        </r>
      </text>
    </comment>
  </commentList>
</comments>
</file>

<file path=xl/sharedStrings.xml><?xml version="1.0" encoding="utf-8"?>
<sst xmlns="http://schemas.openxmlformats.org/spreadsheetml/2006/main" count="1073" uniqueCount="56">
  <si>
    <t>ASSET TYPE</t>
  </si>
  <si>
    <t>CONTRIBUTING PENSION AND PROVIDENT FUNDS</t>
  </si>
  <si>
    <t>TOTAL</t>
  </si>
  <si>
    <t>Local collective investment schemes</t>
  </si>
  <si>
    <t>Offshore funds/investments</t>
  </si>
  <si>
    <t>Local Life funds</t>
  </si>
  <si>
    <t>Call accounts</t>
  </si>
  <si>
    <t xml:space="preserve">Other </t>
  </si>
  <si>
    <t>( C )  Number of accounts</t>
  </si>
  <si>
    <t>TRANSACTION TYPE</t>
  </si>
  <si>
    <t>Recurring</t>
  </si>
  <si>
    <t>Withdrawals</t>
  </si>
  <si>
    <t>RETIREMENT ANNUITIES</t>
  </si>
  <si>
    <t>PRESERVATION FUNDS</t>
  </si>
  <si>
    <t>LIVING ANNUITY WITH MORTALITY</t>
  </si>
  <si>
    <t>PURE LIVING ANNUITY WITH NO MORTALITY</t>
  </si>
  <si>
    <t>DISCRETIONARY LOCAL</t>
  </si>
  <si>
    <t>DISCRETIONARY OFFSHORE</t>
  </si>
  <si>
    <t>TAX FREE SAVINGS UNDERWRITTEN</t>
  </si>
  <si>
    <t>TAX FREE SAVINGS NON UNDERWRITTE</t>
  </si>
  <si>
    <t>TAX FREE SAVINGS NON UNDERWRITTEN</t>
  </si>
  <si>
    <t>Tied agents</t>
  </si>
  <si>
    <t>Direct clients</t>
  </si>
  <si>
    <t>Independent financial advisors</t>
  </si>
  <si>
    <t>Lump sum</t>
  </si>
  <si>
    <t>Direct shares and securities (local)</t>
  </si>
  <si>
    <t>Direct shares and securities (offshore)</t>
  </si>
  <si>
    <t>ENDOWMENTS LOCAL</t>
  </si>
  <si>
    <t>ENDOWMENTS OFFSHORE</t>
  </si>
  <si>
    <t>PURE FULLY GUARANTEED COMPULSORY ANNUITY</t>
  </si>
  <si>
    <t>ACCOUNT TYPE</t>
  </si>
  <si>
    <t>Active / in-force accounts</t>
  </si>
  <si>
    <t>New business emanating from income (distributions) reinvested</t>
  </si>
  <si>
    <t>New business (excluding reinvestments)</t>
  </si>
  <si>
    <t>Lump sum (excluding reinvestments)</t>
  </si>
  <si>
    <t>Recurring (excluding reinvestments)</t>
  </si>
  <si>
    <t>Assets managed under a category II license</t>
  </si>
  <si>
    <t>( B )  Assets managed under a direct category II license</t>
  </si>
  <si>
    <t>Net flows (excluding reinvestments)</t>
  </si>
  <si>
    <t>LISP STATISTICS FOR QUARTER ENDED 30 June 2023</t>
  </si>
  <si>
    <t>( A )  Market value of assets under administration as at 30 June 2023</t>
  </si>
  <si>
    <t>( D )  Flows for quarter ended 30 June 2023</t>
  </si>
  <si>
    <t>Ninety One</t>
  </si>
  <si>
    <t>Alexander Forbes Individual Client Administration</t>
  </si>
  <si>
    <t>( D )  Flows for quarter ended 31 March 2023</t>
  </si>
  <si>
    <t>Discovery Life Investment Services (Pty) Ltd</t>
  </si>
  <si>
    <t>FNB Nominees</t>
  </si>
  <si>
    <t>Global Fund Administrators (Pty) Ltd</t>
  </si>
  <si>
    <t>Momentum</t>
  </si>
  <si>
    <t>Independent financial advisers</t>
  </si>
  <si>
    <t>( D )  Flows for quarter ended xx Xxxxxx 20xx</t>
  </si>
  <si>
    <t xml:space="preserve">Name of LISP - Peregrine Administration Services Pty Ltd    </t>
  </si>
  <si>
    <t>Sanlam Linked Investments</t>
  </si>
  <si>
    <t>Summary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</si>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</sst>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color indexed="62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70C0"/>
      <name val="Arial"/>
      <family val="2"/>
    </font>
    <font>
      <sz val="10"/>
      <name val="Arial"/>
      <family val="2"/>
    </font>
    <font>
      <b/>
      <sz val="9"/>
      <color indexed="14"/>
      <name val="Verdana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MS Sans Serif"/>
    </font>
    <font>
      <b/>
      <sz val="9"/>
      <color theme="1"/>
      <name val="MS Sans Serif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165" fontId="22" fillId="0" borderId="10" xfId="28" applyNumberFormat="1" applyFont="1" applyFill="1" applyBorder="1" applyAlignment="1" applyProtection="1"/>
    <xf numFmtId="165" fontId="22" fillId="0" borderId="12" xfId="28" applyNumberFormat="1" applyFont="1" applyFill="1" applyBorder="1" applyAlignment="1" applyProtection="1"/>
    <xf numFmtId="165" fontId="20" fillId="25" borderId="11" xfId="28" applyNumberFormat="1" applyFont="1" applyFill="1" applyBorder="1" applyAlignment="1" applyProtection="1"/>
    <xf numFmtId="165" fontId="20" fillId="25" borderId="12" xfId="28" applyNumberFormat="1" applyFont="1" applyFill="1" applyBorder="1" applyAlignment="1" applyProtection="1"/>
    <xf numFmtId="165" fontId="20" fillId="0" borderId="12" xfId="28" applyNumberFormat="1" applyFont="1" applyFill="1" applyBorder="1" applyAlignment="1" applyProtection="1"/>
    <xf numFmtId="165" fontId="22" fillId="0" borderId="14" xfId="28" applyNumberFormat="1" applyFont="1" applyFill="1" applyBorder="1" applyAlignment="1" applyProtection="1"/>
    <xf numFmtId="165" fontId="22" fillId="0" borderId="16" xfId="28" applyNumberFormat="1" applyFont="1" applyFill="1" applyBorder="1" applyAlignment="1" applyProtection="1"/>
    <xf numFmtId="165" fontId="20" fillId="0" borderId="0" xfId="28" applyNumberFormat="1" applyFont="1" applyFill="1" applyBorder="1" applyAlignment="1" applyProtection="1"/>
    <xf numFmtId="165" fontId="22" fillId="0" borderId="15" xfId="28" applyNumberFormat="1" applyFont="1" applyFill="1" applyBorder="1" applyAlignment="1" applyProtection="1"/>
    <xf numFmtId="165" fontId="22" fillId="0" borderId="18" xfId="28" applyNumberFormat="1" applyFont="1" applyFill="1" applyBorder="1" applyAlignment="1" applyProtection="1"/>
    <xf numFmtId="165" fontId="22" fillId="0" borderId="19" xfId="28" applyNumberFormat="1" applyFont="1" applyFill="1" applyBorder="1" applyAlignment="1" applyProtection="1"/>
    <xf numFmtId="165" fontId="20" fillId="25" borderId="15" xfId="28" applyNumberFormat="1" applyFont="1" applyFill="1" applyBorder="1" applyAlignment="1" applyProtection="1"/>
    <xf numFmtId="165" fontId="20" fillId="25" borderId="18" xfId="28" applyNumberFormat="1" applyFont="1" applyFill="1" applyBorder="1" applyAlignment="1" applyProtection="1"/>
    <xf numFmtId="165" fontId="20" fillId="0" borderId="18" xfId="28" applyNumberFormat="1" applyFont="1" applyFill="1" applyBorder="1" applyAlignment="1" applyProtection="1"/>
    <xf numFmtId="165" fontId="22" fillId="0" borderId="11" xfId="28" applyNumberFormat="1" applyFont="1" applyFill="1" applyBorder="1" applyAlignment="1" applyProtection="1"/>
    <xf numFmtId="165" fontId="20" fillId="0" borderId="11" xfId="28" applyNumberFormat="1" applyFont="1" applyFill="1" applyBorder="1" applyAlignment="1" applyProtection="1"/>
    <xf numFmtId="165" fontId="20" fillId="0" borderId="15" xfId="28" applyNumberFormat="1" applyFont="1" applyFill="1" applyBorder="1" applyAlignment="1" applyProtection="1"/>
    <xf numFmtId="165" fontId="21" fillId="0" borderId="0" xfId="28" applyNumberFormat="1" applyFont="1" applyFill="1" applyAlignment="1">
      <alignment vertical="center"/>
    </xf>
    <xf numFmtId="165" fontId="20" fillId="0" borderId="0" xfId="28" applyNumberFormat="1" applyFont="1" applyFill="1" applyAlignment="1">
      <alignment vertical="center"/>
    </xf>
    <xf numFmtId="165" fontId="20" fillId="0" borderId="0" xfId="28" applyNumberFormat="1" applyFont="1" applyFill="1" applyAlignment="1" applyProtection="1">
      <alignment vertical="center"/>
      <protection locked="0"/>
    </xf>
    <xf numFmtId="165" fontId="22" fillId="24" borderId="13" xfId="28" applyNumberFormat="1" applyFont="1" applyFill="1" applyBorder="1" applyAlignment="1">
      <alignment horizontal="center" vertical="center" wrapText="1"/>
    </xf>
    <xf numFmtId="165" fontId="22" fillId="24" borderId="13" xfId="28" applyNumberFormat="1" applyFont="1" applyFill="1" applyBorder="1" applyAlignment="1" applyProtection="1">
      <alignment horizontal="center" vertical="center" wrapText="1"/>
    </xf>
    <xf numFmtId="165" fontId="20" fillId="0" borderId="20" xfId="28" applyNumberFormat="1" applyFont="1" applyFill="1" applyBorder="1" applyAlignment="1" applyProtection="1">
      <alignment vertical="center"/>
    </xf>
    <xf numFmtId="165" fontId="20" fillId="0" borderId="0" xfId="28" applyNumberFormat="1" applyFont="1" applyFill="1" applyBorder="1" applyAlignment="1" applyProtection="1">
      <alignment vertical="center"/>
    </xf>
    <xf numFmtId="165" fontId="22" fillId="0" borderId="0" xfId="28" applyNumberFormat="1" applyFont="1" applyFill="1" applyBorder="1" applyAlignment="1" applyProtection="1">
      <alignment vertical="center"/>
    </xf>
    <xf numFmtId="165" fontId="20" fillId="0" borderId="0" xfId="28" applyNumberFormat="1" applyFont="1" applyFill="1" applyBorder="1" applyAlignment="1" applyProtection="1">
      <alignment vertical="center"/>
      <protection locked="0"/>
    </xf>
    <xf numFmtId="165" fontId="20" fillId="0" borderId="17" xfId="28" applyNumberFormat="1" applyFont="1" applyFill="1" applyBorder="1" applyAlignment="1" applyProtection="1">
      <alignment vertical="center"/>
      <protection locked="0"/>
    </xf>
    <xf numFmtId="165" fontId="20" fillId="0" borderId="17" xfId="28" applyNumberFormat="1" applyFont="1" applyFill="1" applyBorder="1" applyAlignment="1" applyProtection="1">
      <alignment vertical="center"/>
    </xf>
    <xf numFmtId="165" fontId="22" fillId="0" borderId="10" xfId="28" applyNumberFormat="1" applyFont="1" applyFill="1" applyBorder="1" applyAlignment="1">
      <alignment vertical="center" wrapText="1"/>
    </xf>
    <xf numFmtId="165" fontId="22" fillId="0" borderId="19" xfId="28" applyNumberFormat="1" applyFont="1" applyFill="1" applyBorder="1" applyAlignment="1" applyProtection="1">
      <alignment vertical="center" wrapText="1"/>
    </xf>
    <xf numFmtId="165" fontId="20" fillId="0" borderId="10" xfId="28" applyNumberFormat="1" applyFont="1" applyFill="1" applyBorder="1" applyAlignment="1" applyProtection="1">
      <alignment vertical="center"/>
    </xf>
    <xf numFmtId="165" fontId="20" fillId="0" borderId="19" xfId="28" applyNumberFormat="1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24" borderId="13" xfId="0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0" fillId="0" borderId="11" xfId="0" applyFont="1" applyBorder="1" applyAlignment="1">
      <alignment horizontal="left" vertical="center" indent="1"/>
    </xf>
    <xf numFmtId="0" fontId="20" fillId="0" borderId="15" xfId="0" applyFont="1" applyBorder="1" applyAlignment="1">
      <alignment horizontal="left" vertical="center" indent="1"/>
    </xf>
    <xf numFmtId="0" fontId="22" fillId="0" borderId="14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165" fontId="20" fillId="0" borderId="21" xfId="28" applyNumberFormat="1" applyFont="1" applyFill="1" applyBorder="1" applyAlignment="1">
      <alignment vertical="center"/>
    </xf>
    <xf numFmtId="165" fontId="20" fillId="0" borderId="15" xfId="28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165" fontId="21" fillId="0" borderId="0" xfId="43" applyNumberFormat="1" applyFont="1" applyFill="1" applyAlignment="1">
      <alignment vertical="center"/>
    </xf>
    <xf numFmtId="165" fontId="20" fillId="0" borderId="0" xfId="43" applyNumberFormat="1" applyFont="1" applyFill="1" applyAlignment="1">
      <alignment vertical="center"/>
    </xf>
    <xf numFmtId="165" fontId="20" fillId="0" borderId="0" xfId="43" applyNumberFormat="1" applyFont="1" applyFill="1" applyAlignment="1" applyProtection="1">
      <alignment vertical="center"/>
      <protection locked="0"/>
    </xf>
    <xf numFmtId="165" fontId="22" fillId="24" borderId="13" xfId="43" applyNumberFormat="1" applyFont="1" applyFill="1" applyBorder="1" applyAlignment="1">
      <alignment horizontal="center" vertical="center" wrapText="1"/>
    </xf>
    <xf numFmtId="165" fontId="22" fillId="24" borderId="13" xfId="43" applyNumberFormat="1" applyFont="1" applyFill="1" applyBorder="1" applyAlignment="1" applyProtection="1">
      <alignment horizontal="center" vertical="center" wrapText="1"/>
    </xf>
    <xf numFmtId="165" fontId="22" fillId="0" borderId="10" xfId="43" applyNumberFormat="1" applyFont="1" applyFill="1" applyBorder="1" applyAlignment="1" applyProtection="1"/>
    <xf numFmtId="165" fontId="20" fillId="25" borderId="11" xfId="43" applyNumberFormat="1" applyFont="1" applyFill="1" applyBorder="1" applyAlignment="1" applyProtection="1"/>
    <xf numFmtId="165" fontId="20" fillId="25" borderId="12" xfId="43" applyNumberFormat="1" applyFont="1" applyFill="1" applyBorder="1" applyAlignment="1" applyProtection="1"/>
    <xf numFmtId="165" fontId="20" fillId="0" borderId="11" xfId="43" applyNumberFormat="1" applyFont="1" applyFill="1" applyBorder="1" applyAlignment="1" applyProtection="1"/>
    <xf numFmtId="165" fontId="20" fillId="0" borderId="15" xfId="43" applyNumberFormat="1" applyFont="1" applyFill="1" applyBorder="1" applyAlignment="1" applyProtection="1"/>
    <xf numFmtId="165" fontId="22" fillId="0" borderId="14" xfId="43" applyNumberFormat="1" applyFont="1" applyFill="1" applyBorder="1" applyAlignment="1" applyProtection="1"/>
    <xf numFmtId="165" fontId="22" fillId="0" borderId="16" xfId="43" applyNumberFormat="1" applyFont="1" applyFill="1" applyBorder="1" applyAlignment="1" applyProtection="1"/>
    <xf numFmtId="165" fontId="20" fillId="0" borderId="20" xfId="43" applyNumberFormat="1" applyFont="1" applyFill="1" applyBorder="1" applyAlignment="1" applyProtection="1">
      <alignment vertical="center"/>
    </xf>
    <xf numFmtId="165" fontId="20" fillId="0" borderId="0" xfId="43" applyNumberFormat="1" applyFont="1" applyFill="1" applyBorder="1" applyAlignment="1" applyProtection="1">
      <alignment vertical="center"/>
    </xf>
    <xf numFmtId="165" fontId="20" fillId="0" borderId="0" xfId="43" applyNumberFormat="1" applyFont="1" applyFill="1" applyBorder="1" applyAlignment="1" applyProtection="1"/>
    <xf numFmtId="165" fontId="20" fillId="25" borderId="15" xfId="43" applyNumberFormat="1" applyFont="1" applyFill="1" applyBorder="1" applyAlignment="1" applyProtection="1"/>
    <xf numFmtId="165" fontId="20" fillId="25" borderId="18" xfId="43" applyNumberFormat="1" applyFont="1" applyFill="1" applyBorder="1" applyAlignment="1" applyProtection="1"/>
    <xf numFmtId="165" fontId="22" fillId="0" borderId="0" xfId="43" applyNumberFormat="1" applyFont="1" applyFill="1" applyBorder="1" applyAlignment="1" applyProtection="1">
      <alignment vertical="center"/>
    </xf>
    <xf numFmtId="165" fontId="20" fillId="0" borderId="0" xfId="43" applyNumberFormat="1" applyFont="1" applyFill="1" applyBorder="1" applyAlignment="1" applyProtection="1">
      <alignment vertical="center"/>
      <protection locked="0"/>
    </xf>
    <xf numFmtId="165" fontId="20" fillId="0" borderId="17" xfId="43" applyNumberFormat="1" applyFont="1" applyFill="1" applyBorder="1" applyAlignment="1" applyProtection="1">
      <alignment vertical="center"/>
      <protection locked="0"/>
    </xf>
    <xf numFmtId="165" fontId="20" fillId="0" borderId="17" xfId="43" applyNumberFormat="1" applyFont="1" applyFill="1" applyBorder="1" applyAlignment="1" applyProtection="1">
      <alignment vertical="center"/>
    </xf>
    <xf numFmtId="165" fontId="22" fillId="0" borderId="10" xfId="43" applyNumberFormat="1" applyFont="1" applyFill="1" applyBorder="1" applyAlignment="1">
      <alignment vertical="center" wrapText="1"/>
    </xf>
    <xf numFmtId="165" fontId="22" fillId="0" borderId="19" xfId="43" applyNumberFormat="1" applyFont="1" applyFill="1" applyBorder="1" applyAlignment="1" applyProtection="1">
      <alignment vertical="center" wrapText="1"/>
    </xf>
    <xf numFmtId="165" fontId="22" fillId="0" borderId="15" xfId="43" applyNumberFormat="1" applyFont="1" applyFill="1" applyBorder="1" applyAlignment="1" applyProtection="1"/>
    <xf numFmtId="165" fontId="22" fillId="0" borderId="18" xfId="43" applyNumberFormat="1" applyFont="1" applyFill="1" applyBorder="1" applyAlignment="1" applyProtection="1"/>
    <xf numFmtId="165" fontId="20" fillId="0" borderId="12" xfId="43" applyNumberFormat="1" applyFont="1" applyFill="1" applyBorder="1" applyAlignment="1" applyProtection="1"/>
    <xf numFmtId="165" fontId="20" fillId="0" borderId="18" xfId="43" applyNumberFormat="1" applyFont="1" applyFill="1" applyBorder="1" applyAlignment="1" applyProtection="1"/>
    <xf numFmtId="165" fontId="22" fillId="0" borderId="11" xfId="43" applyNumberFormat="1" applyFont="1" applyFill="1" applyBorder="1" applyAlignment="1" applyProtection="1"/>
    <xf numFmtId="165" fontId="20" fillId="0" borderId="10" xfId="43" applyNumberFormat="1" applyFont="1" applyFill="1" applyBorder="1" applyAlignment="1" applyProtection="1">
      <alignment vertical="center"/>
    </xf>
    <xf numFmtId="165" fontId="20" fillId="0" borderId="19" xfId="43" applyNumberFormat="1" applyFont="1" applyFill="1" applyBorder="1" applyAlignment="1" applyProtection="1">
      <alignment vertical="center"/>
    </xf>
    <xf numFmtId="165" fontId="20" fillId="0" borderId="21" xfId="43" applyNumberFormat="1" applyFont="1" applyFill="1" applyBorder="1" applyAlignment="1">
      <alignment vertical="center"/>
    </xf>
    <xf numFmtId="165" fontId="20" fillId="0" borderId="15" xfId="43" applyNumberFormat="1" applyFont="1" applyFill="1" applyBorder="1" applyAlignment="1">
      <alignment vertical="center"/>
    </xf>
    <xf numFmtId="3" fontId="28" fillId="26" borderId="0" xfId="0" applyNumberFormat="1" applyFont="1" applyFill="1" applyAlignment="1">
      <alignment vertical="center"/>
    </xf>
    <xf numFmtId="164" fontId="22" fillId="0" borderId="10" xfId="28" applyFont="1" applyFill="1" applyBorder="1" applyAlignment="1" applyProtection="1"/>
    <xf numFmtId="164" fontId="22" fillId="0" borderId="22" xfId="28" applyFont="1" applyFill="1" applyBorder="1" applyAlignment="1" applyProtection="1"/>
    <xf numFmtId="164" fontId="22" fillId="0" borderId="19" xfId="28" applyFont="1" applyFill="1" applyBorder="1" applyAlignment="1" applyProtection="1"/>
    <xf numFmtId="164" fontId="0" fillId="0" borderId="0" xfId="28" applyFont="1"/>
    <xf numFmtId="164" fontId="0" fillId="25" borderId="11" xfId="28" applyFont="1" applyFill="1" applyBorder="1"/>
    <xf numFmtId="164" fontId="0" fillId="25" borderId="0" xfId="28" applyFont="1" applyFill="1"/>
    <xf numFmtId="164" fontId="20" fillId="25" borderId="11" xfId="28" applyFont="1" applyFill="1" applyBorder="1" applyAlignment="1" applyProtection="1"/>
    <xf numFmtId="164" fontId="20" fillId="25" borderId="12" xfId="28" applyFont="1" applyFill="1" applyBorder="1" applyAlignment="1" applyProtection="1"/>
    <xf numFmtId="164" fontId="20" fillId="0" borderId="11" xfId="28" applyFont="1" applyFill="1" applyBorder="1" applyAlignment="1" applyProtection="1"/>
    <xf numFmtId="164" fontId="29" fillId="25" borderId="11" xfId="28" applyFont="1" applyFill="1" applyBorder="1"/>
    <xf numFmtId="164" fontId="0" fillId="25" borderId="15" xfId="28" applyFont="1" applyFill="1" applyBorder="1"/>
    <xf numFmtId="164" fontId="29" fillId="25" borderId="15" xfId="28" applyFont="1" applyFill="1" applyBorder="1"/>
    <xf numFmtId="164" fontId="20" fillId="0" borderId="15" xfId="28" applyFont="1" applyFill="1" applyBorder="1" applyAlignment="1" applyProtection="1"/>
    <xf numFmtId="164" fontId="30" fillId="0" borderId="15" xfId="28" applyFont="1" applyBorder="1"/>
    <xf numFmtId="164" fontId="22" fillId="0" borderId="14" xfId="28" applyFont="1" applyFill="1" applyBorder="1" applyAlignment="1" applyProtection="1"/>
    <xf numFmtId="164" fontId="22" fillId="0" borderId="16" xfId="28" applyFont="1" applyFill="1" applyBorder="1" applyAlignment="1" applyProtection="1"/>
    <xf numFmtId="164" fontId="20" fillId="0" borderId="20" xfId="28" applyFont="1" applyFill="1" applyBorder="1" applyAlignment="1" applyProtection="1">
      <alignment vertical="center"/>
    </xf>
    <xf numFmtId="164" fontId="20" fillId="0" borderId="0" xfId="28" applyFont="1" applyFill="1" applyBorder="1" applyAlignment="1" applyProtection="1">
      <alignment vertical="center"/>
    </xf>
    <xf numFmtId="164" fontId="20" fillId="0" borderId="0" xfId="28" applyFont="1" applyFill="1" applyBorder="1" applyAlignment="1" applyProtection="1"/>
    <xf numFmtId="164" fontId="22" fillId="24" borderId="13" xfId="28" applyFont="1" applyFill="1" applyBorder="1" applyAlignment="1">
      <alignment horizontal="center" vertical="center" wrapText="1"/>
    </xf>
    <xf numFmtId="164" fontId="22" fillId="24" borderId="13" xfId="28" applyFont="1" applyFill="1" applyBorder="1" applyAlignment="1" applyProtection="1">
      <alignment horizontal="center" vertical="center" wrapText="1"/>
    </xf>
    <xf numFmtId="164" fontId="20" fillId="25" borderId="15" xfId="28" applyFont="1" applyFill="1" applyBorder="1" applyAlignment="1" applyProtection="1"/>
    <xf numFmtId="164" fontId="20" fillId="25" borderId="18" xfId="28" applyFont="1" applyFill="1" applyBorder="1" applyAlignment="1" applyProtection="1"/>
    <xf numFmtId="164" fontId="22" fillId="0" borderId="0" xfId="28" applyFont="1" applyFill="1" applyBorder="1" applyAlignment="1" applyProtection="1">
      <alignment vertical="center"/>
    </xf>
    <xf numFmtId="164" fontId="20" fillId="0" borderId="10" xfId="28" applyFont="1" applyFill="1" applyBorder="1" applyAlignment="1" applyProtection="1"/>
    <xf numFmtId="164" fontId="20" fillId="0" borderId="19" xfId="28" applyFont="1" applyFill="1" applyBorder="1" applyAlignment="1" applyProtection="1"/>
    <xf numFmtId="164" fontId="0" fillId="25" borderId="17" xfId="28" applyFont="1" applyFill="1" applyBorder="1"/>
    <xf numFmtId="164" fontId="20" fillId="0" borderId="0" xfId="28" applyFont="1" applyFill="1" applyBorder="1" applyAlignment="1" applyProtection="1">
      <alignment vertical="center"/>
      <protection locked="0"/>
    </xf>
    <xf numFmtId="164" fontId="20" fillId="0" borderId="17" xfId="28" applyFont="1" applyFill="1" applyBorder="1" applyAlignment="1" applyProtection="1">
      <alignment vertical="center"/>
      <protection locked="0"/>
    </xf>
    <xf numFmtId="164" fontId="20" fillId="0" borderId="17" xfId="28" applyFont="1" applyFill="1" applyBorder="1" applyAlignment="1" applyProtection="1">
      <alignment vertical="center"/>
    </xf>
    <xf numFmtId="164" fontId="22" fillId="0" borderId="10" xfId="28" applyFont="1" applyFill="1" applyBorder="1" applyAlignment="1">
      <alignment vertical="center" wrapText="1"/>
    </xf>
    <xf numFmtId="164" fontId="22" fillId="0" borderId="19" xfId="28" applyFont="1" applyFill="1" applyBorder="1" applyAlignment="1">
      <alignment vertical="center" wrapText="1"/>
    </xf>
    <xf numFmtId="164" fontId="22" fillId="0" borderId="19" xfId="28" applyFont="1" applyFill="1" applyBorder="1" applyAlignment="1" applyProtection="1">
      <alignment vertical="center" wrapText="1"/>
    </xf>
    <xf numFmtId="164" fontId="22" fillId="0" borderId="15" xfId="28" applyFont="1" applyFill="1" applyBorder="1" applyAlignment="1" applyProtection="1"/>
    <xf numFmtId="164" fontId="22" fillId="0" borderId="18" xfId="28" applyFont="1" applyFill="1" applyBorder="1" applyAlignment="1" applyProtection="1"/>
    <xf numFmtId="164" fontId="20" fillId="0" borderId="12" xfId="28" applyFont="1" applyFill="1" applyBorder="1" applyAlignment="1" applyProtection="1"/>
    <xf numFmtId="164" fontId="1" fillId="25" borderId="11" xfId="28" applyFont="1" applyFill="1" applyBorder="1"/>
    <xf numFmtId="164" fontId="20" fillId="25" borderId="11" xfId="28" applyFont="1" applyFill="1" applyBorder="1" applyAlignment="1">
      <alignment vertical="center"/>
    </xf>
    <xf numFmtId="164" fontId="20" fillId="0" borderId="18" xfId="28" applyFont="1" applyFill="1" applyBorder="1" applyAlignment="1" applyProtection="1"/>
    <xf numFmtId="164" fontId="22" fillId="0" borderId="11" xfId="28" applyFont="1" applyFill="1" applyBorder="1" applyAlignment="1" applyProtection="1"/>
    <xf numFmtId="164" fontId="22" fillId="0" borderId="12" xfId="28" applyFont="1" applyFill="1" applyBorder="1" applyAlignment="1" applyProtection="1"/>
    <xf numFmtId="164" fontId="2" fillId="25" borderId="11" xfId="28" applyFont="1" applyFill="1" applyBorder="1"/>
    <xf numFmtId="164" fontId="2" fillId="25" borderId="12" xfId="28" applyFont="1" applyFill="1" applyBorder="1"/>
    <xf numFmtId="164" fontId="2" fillId="25" borderId="18" xfId="28" applyFont="1" applyFill="1" applyBorder="1"/>
    <xf numFmtId="164" fontId="20" fillId="0" borderId="10" xfId="28" applyFont="1" applyFill="1" applyBorder="1" applyAlignment="1" applyProtection="1">
      <alignment vertical="center"/>
    </xf>
    <xf numFmtId="164" fontId="20" fillId="0" borderId="19" xfId="28" applyFont="1" applyFill="1" applyBorder="1" applyAlignment="1" applyProtection="1">
      <alignment vertical="center"/>
    </xf>
    <xf numFmtId="164" fontId="27" fillId="25" borderId="0" xfId="28" applyFont="1" applyFill="1"/>
    <xf numFmtId="164" fontId="2" fillId="0" borderId="0" xfId="28" applyFont="1"/>
    <xf numFmtId="164" fontId="2" fillId="25" borderId="15" xfId="28" applyFont="1" applyFill="1" applyBorder="1"/>
    <xf numFmtId="164" fontId="1" fillId="25" borderId="15" xfId="28" applyFont="1" applyFill="1" applyBorder="1"/>
    <xf numFmtId="164" fontId="20" fillId="0" borderId="21" xfId="28" applyFont="1" applyFill="1" applyBorder="1" applyAlignment="1">
      <alignment vertical="center"/>
    </xf>
    <xf numFmtId="164" fontId="20" fillId="0" borderId="23" xfId="28" applyFont="1" applyFill="1" applyBorder="1" applyAlignment="1">
      <alignment vertical="center"/>
    </xf>
    <xf numFmtId="164" fontId="31" fillId="0" borderId="24" xfId="28" applyFont="1" applyBorder="1"/>
    <xf numFmtId="164" fontId="32" fillId="0" borderId="25" xfId="28" applyFont="1" applyBorder="1"/>
    <xf numFmtId="164" fontId="33" fillId="0" borderId="12" xfId="28" applyFont="1" applyBorder="1"/>
    <xf numFmtId="164" fontId="33" fillId="0" borderId="12" xfId="28" applyFont="1" applyFill="1" applyBorder="1" applyAlignment="1">
      <alignment vertical="center"/>
    </xf>
    <xf numFmtId="164" fontId="20" fillId="0" borderId="11" xfId="28" applyFont="1" applyFill="1" applyBorder="1" applyAlignment="1">
      <alignment vertical="center"/>
    </xf>
    <xf numFmtId="164" fontId="20" fillId="0" borderId="15" xfId="28" applyFont="1" applyFill="1" applyBorder="1" applyAlignment="1">
      <alignment vertical="center"/>
    </xf>
    <xf numFmtId="0" fontId="20" fillId="0" borderId="13" xfId="0" applyFont="1" applyBorder="1" applyAlignment="1">
      <alignment vertical="center"/>
    </xf>
    <xf numFmtId="164" fontId="20" fillId="0" borderId="13" xfId="28" applyFont="1" applyFill="1" applyBorder="1" applyAlignment="1">
      <alignment vertical="center"/>
    </xf>
    <xf numFmtId="164" fontId="20" fillId="0" borderId="26" xfId="28" applyFont="1" applyFill="1" applyBorder="1" applyAlignment="1">
      <alignment vertical="center"/>
    </xf>
    <xf numFmtId="164" fontId="20" fillId="0" borderId="27" xfId="28" applyFont="1" applyFill="1" applyBorder="1" applyAlignment="1">
      <alignment vertical="center"/>
    </xf>
    <xf numFmtId="164" fontId="20" fillId="0" borderId="17" xfId="28" applyFont="1" applyFill="1" applyBorder="1" applyAlignment="1">
      <alignment vertical="center"/>
    </xf>
    <xf numFmtId="165" fontId="34" fillId="25" borderId="11" xfId="43" applyNumberFormat="1" applyFont="1" applyFill="1" applyBorder="1" applyAlignment="1" applyProtection="1"/>
    <xf numFmtId="165" fontId="22" fillId="27" borderId="19" xfId="43" applyNumberFormat="1" applyFont="1" applyFill="1" applyBorder="1" applyAlignment="1" applyProtection="1"/>
    <xf numFmtId="165" fontId="22" fillId="27" borderId="12" xfId="43" applyNumberFormat="1" applyFont="1" applyFill="1" applyBorder="1" applyAlignment="1" applyProtection="1"/>
    <xf numFmtId="165" fontId="22" fillId="27" borderId="10" xfId="43" applyNumberFormat="1" applyFont="1" applyFill="1" applyBorder="1" applyAlignment="1" applyProtection="1"/>
    <xf numFmtId="3" fontId="20" fillId="25" borderId="11" xfId="28" applyNumberFormat="1" applyFont="1" applyFill="1" applyBorder="1" applyAlignment="1" applyProtection="1"/>
    <xf numFmtId="3" fontId="35" fillId="26" borderId="0" xfId="0" applyNumberFormat="1" applyFont="1" applyFill="1" applyAlignment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3" xr:uid="{AF067751-8E3A-40AB-89A0-37F53E46E117}"/>
    <cellStyle name="Comma 3" xfId="45" xr:uid="{CC4D184C-83AE-4BC1-8EA0-9CE8F1F7EF72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 xr:uid="{E724F3D2-EEE9-404C-879A-37846061AFF6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2"/>
  <sheetViews>
    <sheetView showGridLines="0" tabSelected="1" zoomScale="86" zoomScaleNormal="86" workbookViewId="0">
      <selection activeCell="D1" sqref="D1"/>
    </sheetView>
  </sheetViews>
  <sheetFormatPr defaultColWidth="9.1796875" defaultRowHeight="10" x14ac:dyDescent="0.25"/>
  <cols>
    <col min="1" max="1" width="2.81640625" style="33" customWidth="1"/>
    <col min="2" max="2" width="47" style="33" customWidth="1"/>
    <col min="3" max="3" width="17.54296875" style="19" customWidth="1"/>
    <col min="4" max="4" width="16.26953125" style="19" customWidth="1"/>
    <col min="5" max="5" width="14.453125" style="19" customWidth="1"/>
    <col min="6" max="6" width="15.7265625" style="19" customWidth="1"/>
    <col min="7" max="8" width="16.54296875" style="19" customWidth="1"/>
    <col min="9" max="9" width="15.1796875" style="19" customWidth="1"/>
    <col min="10" max="10" width="17.26953125" style="19" customWidth="1"/>
    <col min="11" max="11" width="18" style="19" customWidth="1"/>
    <col min="12" max="12" width="15.1796875" style="19" bestFit="1" customWidth="1"/>
    <col min="13" max="13" width="14" style="19" customWidth="1"/>
    <col min="14" max="14" width="14.54296875" style="19" customWidth="1"/>
    <col min="15" max="15" width="16.54296875" style="19" bestFit="1" customWidth="1"/>
    <col min="16" max="16" width="2.81640625" style="33" customWidth="1"/>
    <col min="17" max="16384" width="9.1796875" style="33"/>
  </cols>
  <sheetData>
    <row r="1" spans="2:15" ht="10.5" x14ac:dyDescent="0.25">
      <c r="B1" s="41" t="s">
        <v>39</v>
      </c>
      <c r="C1" s="18"/>
      <c r="D1" s="18"/>
      <c r="E1" s="18"/>
      <c r="F1" s="18"/>
      <c r="G1" s="18"/>
    </row>
    <row r="2" spans="2:15" ht="10.5" x14ac:dyDescent="0.25">
      <c r="B2" s="34" t="s">
        <v>53</v>
      </c>
      <c r="C2" s="20"/>
      <c r="D2" s="20"/>
    </row>
    <row r="3" spans="2:15" ht="11.5" x14ac:dyDescent="0.25">
      <c r="B3" s="151" t="s">
        <v>54</v>
      </c>
    </row>
    <row r="4" spans="2:15" ht="11.5" x14ac:dyDescent="0.25">
      <c r="B4" s="151" t="s">
        <v>55</v>
      </c>
    </row>
    <row r="5" spans="2:15" ht="10.5" x14ac:dyDescent="0.25">
      <c r="B5" s="49" t="s">
        <v>40</v>
      </c>
    </row>
    <row r="7" spans="2:15" ht="42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15" ht="10.5" x14ac:dyDescent="0.25">
      <c r="B8" s="36" t="s">
        <v>3</v>
      </c>
      <c r="C8" s="1">
        <v>466242527272.50342</v>
      </c>
      <c r="D8" s="1">
        <v>3108904.1199999996</v>
      </c>
      <c r="E8" s="1">
        <v>104442661165.75885</v>
      </c>
      <c r="F8" s="1">
        <v>295175.21000000002</v>
      </c>
      <c r="G8" s="1">
        <v>6044440420.4537811</v>
      </c>
      <c r="H8" s="1">
        <v>7624364645.8405857</v>
      </c>
      <c r="I8" s="1">
        <v>215850416641.55154</v>
      </c>
      <c r="J8" s="1">
        <v>163393086450.42545</v>
      </c>
      <c r="K8" s="1">
        <v>406603381378.46399</v>
      </c>
      <c r="L8" s="1">
        <v>39831780042.586914</v>
      </c>
      <c r="M8" s="1">
        <v>12355606.620000001</v>
      </c>
      <c r="N8" s="1">
        <v>7326317810.2200031</v>
      </c>
      <c r="O8" s="1">
        <v>1417374735513.7546</v>
      </c>
    </row>
    <row r="9" spans="2:15" x14ac:dyDescent="0.2">
      <c r="B9" s="37" t="s">
        <v>21</v>
      </c>
      <c r="C9" s="3">
        <v>86692919407.048813</v>
      </c>
      <c r="D9" s="3">
        <v>47963.78</v>
      </c>
      <c r="E9" s="3">
        <v>39186168142.179039</v>
      </c>
      <c r="F9" s="3">
        <v>0</v>
      </c>
      <c r="G9" s="3">
        <v>0</v>
      </c>
      <c r="H9" s="3">
        <v>1765041615.0199845</v>
      </c>
      <c r="I9" s="3">
        <v>48081848705.055443</v>
      </c>
      <c r="J9" s="3">
        <v>39787673276.944084</v>
      </c>
      <c r="K9" s="3">
        <v>89818239767.814987</v>
      </c>
      <c r="L9" s="3">
        <v>20827224823.715637</v>
      </c>
      <c r="M9" s="3">
        <v>0</v>
      </c>
      <c r="N9" s="3">
        <v>4175688067.0190034</v>
      </c>
      <c r="O9" s="16">
        <v>330334851768.57697</v>
      </c>
    </row>
    <row r="10" spans="2:15" x14ac:dyDescent="0.2">
      <c r="B10" s="37" t="s">
        <v>23</v>
      </c>
      <c r="C10" s="3">
        <v>353593358058.45221</v>
      </c>
      <c r="D10" s="3">
        <v>3060940.34</v>
      </c>
      <c r="E10" s="3">
        <v>63577971115.616615</v>
      </c>
      <c r="F10" s="3">
        <v>295175.21000000002</v>
      </c>
      <c r="G10" s="3">
        <v>3946832500.58816</v>
      </c>
      <c r="H10" s="3">
        <v>4602454232.3514891</v>
      </c>
      <c r="I10" s="3">
        <v>140045988569.88876</v>
      </c>
      <c r="J10" s="3">
        <v>105356192700.03438</v>
      </c>
      <c r="K10" s="3">
        <v>291171040300.64502</v>
      </c>
      <c r="L10" s="3">
        <v>17149109034.183615</v>
      </c>
      <c r="M10" s="3">
        <v>12355606.620000001</v>
      </c>
      <c r="N10" s="3">
        <v>2752531995.9510002</v>
      </c>
      <c r="O10" s="16">
        <v>982211190229.88135</v>
      </c>
    </row>
    <row r="11" spans="2:15" x14ac:dyDescent="0.2">
      <c r="B11" s="38" t="s">
        <v>22</v>
      </c>
      <c r="C11" s="3">
        <v>25956249807.002411</v>
      </c>
      <c r="D11" s="3">
        <v>0</v>
      </c>
      <c r="E11" s="3">
        <v>1678521907.9631989</v>
      </c>
      <c r="F11" s="3">
        <v>0</v>
      </c>
      <c r="G11" s="3">
        <v>2097607919.8656209</v>
      </c>
      <c r="H11" s="3">
        <v>1256868798.4691119</v>
      </c>
      <c r="I11" s="3">
        <v>27722579366.607342</v>
      </c>
      <c r="J11" s="3">
        <v>18249220473.446995</v>
      </c>
      <c r="K11" s="3">
        <v>25614101310.003994</v>
      </c>
      <c r="L11" s="3">
        <v>1855446184.6876631</v>
      </c>
      <c r="M11" s="3">
        <v>0</v>
      </c>
      <c r="N11" s="3">
        <v>398097747.24999994</v>
      </c>
      <c r="O11" s="17">
        <v>104828693515.29634</v>
      </c>
    </row>
    <row r="12" spans="2:15" ht="10.5" x14ac:dyDescent="0.25">
      <c r="B12" s="36" t="s">
        <v>4</v>
      </c>
      <c r="C12" s="1">
        <v>4409340694.365613</v>
      </c>
      <c r="D12" s="1">
        <v>137540270077.50909</v>
      </c>
      <c r="E12" s="1">
        <v>3589115847.89675</v>
      </c>
      <c r="F12" s="1">
        <v>99228264446.377838</v>
      </c>
      <c r="G12" s="1">
        <v>0</v>
      </c>
      <c r="H12" s="1">
        <v>0</v>
      </c>
      <c r="I12" s="1">
        <v>474357024.68110406</v>
      </c>
      <c r="J12" s="1">
        <v>1130792371.8599999</v>
      </c>
      <c r="K12" s="1">
        <v>12951568138.776434</v>
      </c>
      <c r="L12" s="1">
        <v>0</v>
      </c>
      <c r="M12" s="1">
        <v>0</v>
      </c>
      <c r="N12" s="1">
        <v>56554316.600000001</v>
      </c>
      <c r="O12" s="1">
        <v>259380262918.0668</v>
      </c>
    </row>
    <row r="13" spans="2:15" x14ac:dyDescent="0.2">
      <c r="B13" s="37" t="s">
        <v>21</v>
      </c>
      <c r="C13" s="3">
        <v>859652901.34520447</v>
      </c>
      <c r="D13" s="3">
        <v>4716570743.3617458</v>
      </c>
      <c r="E13" s="3">
        <v>583449872.31337464</v>
      </c>
      <c r="F13" s="3">
        <v>8003764111.3822489</v>
      </c>
      <c r="G13" s="3">
        <v>0</v>
      </c>
      <c r="H13" s="3">
        <v>0</v>
      </c>
      <c r="I13" s="3">
        <v>94096468.800000012</v>
      </c>
      <c r="J13" s="3">
        <v>325178981.29000002</v>
      </c>
      <c r="K13" s="3">
        <v>1298937986.473568</v>
      </c>
      <c r="L13" s="3">
        <v>0</v>
      </c>
      <c r="M13" s="3">
        <v>0</v>
      </c>
      <c r="N13" s="3">
        <v>30829409.039999999</v>
      </c>
      <c r="O13" s="16">
        <v>15912480474.006142</v>
      </c>
    </row>
    <row r="14" spans="2:15" x14ac:dyDescent="0.2">
      <c r="B14" s="37" t="s">
        <v>23</v>
      </c>
      <c r="C14" s="3">
        <v>3529807961.3352041</v>
      </c>
      <c r="D14" s="3">
        <v>119121175370.03996</v>
      </c>
      <c r="E14" s="3">
        <v>3004280975.5833755</v>
      </c>
      <c r="F14" s="3">
        <v>88466912003.441483</v>
      </c>
      <c r="G14" s="3">
        <v>0</v>
      </c>
      <c r="H14" s="3">
        <v>0</v>
      </c>
      <c r="I14" s="3">
        <v>371028310.84110403</v>
      </c>
      <c r="J14" s="3">
        <v>794610244.75999999</v>
      </c>
      <c r="K14" s="3">
        <v>11575266522.474146</v>
      </c>
      <c r="L14" s="3">
        <v>0</v>
      </c>
      <c r="M14" s="3">
        <v>0</v>
      </c>
      <c r="N14" s="3">
        <v>9380909.0299999993</v>
      </c>
      <c r="O14" s="16">
        <v>226872462297.50528</v>
      </c>
    </row>
    <row r="15" spans="2:15" x14ac:dyDescent="0.2">
      <c r="B15" s="38" t="s">
        <v>22</v>
      </c>
      <c r="C15" s="3">
        <v>19879831.685204424</v>
      </c>
      <c r="D15" s="3">
        <v>13702523964.107376</v>
      </c>
      <c r="E15" s="3">
        <v>1385000</v>
      </c>
      <c r="F15" s="3">
        <v>2757588331.5541067</v>
      </c>
      <c r="G15" s="3">
        <v>0</v>
      </c>
      <c r="H15" s="3">
        <v>0</v>
      </c>
      <c r="I15" s="3">
        <v>9232245.0399999991</v>
      </c>
      <c r="J15" s="3">
        <v>11003145.810000002</v>
      </c>
      <c r="K15" s="3">
        <v>77363629.828720003</v>
      </c>
      <c r="L15" s="3">
        <v>0</v>
      </c>
      <c r="M15" s="3">
        <v>0</v>
      </c>
      <c r="N15" s="3">
        <v>16343998.529999999</v>
      </c>
      <c r="O15" s="17">
        <v>16595320146.555408</v>
      </c>
    </row>
    <row r="16" spans="2:15" ht="10.5" x14ac:dyDescent="0.25">
      <c r="B16" s="36" t="s">
        <v>5</v>
      </c>
      <c r="C16" s="1">
        <v>521417313.62451965</v>
      </c>
      <c r="D16" s="1">
        <v>0</v>
      </c>
      <c r="E16" s="1">
        <v>8675718650.1890106</v>
      </c>
      <c r="F16" s="1">
        <v>0</v>
      </c>
      <c r="G16" s="1">
        <v>0</v>
      </c>
      <c r="H16" s="1">
        <v>90797.81</v>
      </c>
      <c r="I16" s="1">
        <v>8248651945.8388195</v>
      </c>
      <c r="J16" s="1">
        <v>1199804244.2301836</v>
      </c>
      <c r="K16" s="1">
        <v>4689822071.0500002</v>
      </c>
      <c r="L16" s="1">
        <v>3393737823.0837288</v>
      </c>
      <c r="M16" s="1">
        <v>125814273.80999999</v>
      </c>
      <c r="N16" s="1">
        <v>11702591761.219999</v>
      </c>
      <c r="O16" s="1">
        <v>38557648880.856262</v>
      </c>
    </row>
    <row r="17" spans="2:15" x14ac:dyDescent="0.2">
      <c r="B17" s="37" t="s">
        <v>21</v>
      </c>
      <c r="C17" s="3">
        <v>477112562.12999988</v>
      </c>
      <c r="D17" s="3">
        <v>0</v>
      </c>
      <c r="E17" s="3">
        <v>7000888005.2999992</v>
      </c>
      <c r="F17" s="3">
        <v>0</v>
      </c>
      <c r="G17" s="3">
        <v>0</v>
      </c>
      <c r="H17" s="3">
        <v>0</v>
      </c>
      <c r="I17" s="3">
        <v>6093695155.1099997</v>
      </c>
      <c r="J17" s="3">
        <v>14079628.440000001</v>
      </c>
      <c r="K17" s="3">
        <v>2238083989.0299997</v>
      </c>
      <c r="L17" s="3">
        <v>1277760043.7099998</v>
      </c>
      <c r="M17" s="3">
        <v>125814273.80999999</v>
      </c>
      <c r="N17" s="3">
        <v>11696574459.059999</v>
      </c>
      <c r="O17" s="16">
        <v>28924008116.589996</v>
      </c>
    </row>
    <row r="18" spans="2:15" x14ac:dyDescent="0.2">
      <c r="B18" s="37" t="s">
        <v>23</v>
      </c>
      <c r="C18" s="3">
        <v>44304751.494519763</v>
      </c>
      <c r="D18" s="3">
        <v>0</v>
      </c>
      <c r="E18" s="3">
        <v>1304287692.929821</v>
      </c>
      <c r="F18" s="3">
        <v>0</v>
      </c>
      <c r="G18" s="3">
        <v>0</v>
      </c>
      <c r="H18" s="3">
        <v>90797.81</v>
      </c>
      <c r="I18" s="3">
        <v>1773493356.2730613</v>
      </c>
      <c r="J18" s="3">
        <v>881705176.57018363</v>
      </c>
      <c r="K18" s="3">
        <v>2316352790.5700002</v>
      </c>
      <c r="L18" s="3">
        <v>1833209124.6919174</v>
      </c>
      <c r="M18" s="3">
        <v>0</v>
      </c>
      <c r="N18" s="3">
        <v>6017302.1600000001</v>
      </c>
      <c r="O18" s="16">
        <v>8159460992.4995031</v>
      </c>
    </row>
    <row r="19" spans="2:15" x14ac:dyDescent="0.2">
      <c r="B19" s="38" t="s">
        <v>22</v>
      </c>
      <c r="C19" s="3">
        <v>0</v>
      </c>
      <c r="D19" s="3">
        <v>0</v>
      </c>
      <c r="E19" s="3">
        <v>370542951.95919126</v>
      </c>
      <c r="F19" s="3">
        <v>0</v>
      </c>
      <c r="G19" s="3">
        <v>0</v>
      </c>
      <c r="H19" s="3">
        <v>0</v>
      </c>
      <c r="I19" s="3">
        <v>381463434.45575947</v>
      </c>
      <c r="J19" s="3">
        <v>304019439.22000003</v>
      </c>
      <c r="K19" s="3">
        <v>135385291.45000002</v>
      </c>
      <c r="L19" s="3">
        <v>282768654.68181127</v>
      </c>
      <c r="M19" s="3">
        <v>0</v>
      </c>
      <c r="N19" s="3">
        <v>0</v>
      </c>
      <c r="O19" s="17">
        <v>1474179771.766762</v>
      </c>
    </row>
    <row r="20" spans="2:15" ht="10.5" x14ac:dyDescent="0.25">
      <c r="B20" s="36" t="s">
        <v>6</v>
      </c>
      <c r="C20" s="1">
        <v>588333765.83000004</v>
      </c>
      <c r="D20" s="1">
        <v>20034171.113000002</v>
      </c>
      <c r="E20" s="1">
        <v>91749805.180000007</v>
      </c>
      <c r="F20" s="1">
        <v>32165097.648749996</v>
      </c>
      <c r="G20" s="1">
        <v>0</v>
      </c>
      <c r="H20" s="1">
        <v>6399054.1199999936</v>
      </c>
      <c r="I20" s="1">
        <v>138109797.65000001</v>
      </c>
      <c r="J20" s="1">
        <v>197775871.93000004</v>
      </c>
      <c r="K20" s="1">
        <v>658648424.85000002</v>
      </c>
      <c r="L20" s="1">
        <v>16679456.179999992</v>
      </c>
      <c r="M20" s="1">
        <v>0</v>
      </c>
      <c r="N20" s="1">
        <v>11790308.09</v>
      </c>
      <c r="O20" s="1">
        <v>1761685752.5917501</v>
      </c>
    </row>
    <row r="21" spans="2:15" x14ac:dyDescent="0.2">
      <c r="B21" s="37" t="s">
        <v>21</v>
      </c>
      <c r="C21" s="3">
        <v>321951769.79999995</v>
      </c>
      <c r="D21" s="3">
        <v>3976603.5417625015</v>
      </c>
      <c r="E21" s="3">
        <v>16301439.390000001</v>
      </c>
      <c r="F21" s="3">
        <v>182433.66638749998</v>
      </c>
      <c r="G21" s="3">
        <v>0</v>
      </c>
      <c r="H21" s="3">
        <v>0</v>
      </c>
      <c r="I21" s="3">
        <v>27558755.180000003</v>
      </c>
      <c r="J21" s="3">
        <v>95048867.520000026</v>
      </c>
      <c r="K21" s="3">
        <v>270121292.01000005</v>
      </c>
      <c r="L21" s="3">
        <v>1679829.9299999997</v>
      </c>
      <c r="M21" s="3">
        <v>0</v>
      </c>
      <c r="N21" s="3">
        <v>0</v>
      </c>
      <c r="O21" s="16">
        <v>736820991.03814995</v>
      </c>
    </row>
    <row r="22" spans="2:15" x14ac:dyDescent="0.2">
      <c r="B22" s="37" t="s">
        <v>23</v>
      </c>
      <c r="C22" s="3">
        <v>230266611.13</v>
      </c>
      <c r="D22" s="3">
        <v>16057567.571237501</v>
      </c>
      <c r="E22" s="3">
        <v>68750743.620000005</v>
      </c>
      <c r="F22" s="3">
        <v>31982663.982362498</v>
      </c>
      <c r="G22" s="3">
        <v>0</v>
      </c>
      <c r="H22" s="3">
        <v>2095908.7400000067</v>
      </c>
      <c r="I22" s="3">
        <v>84538462.609999999</v>
      </c>
      <c r="J22" s="3">
        <v>83156167.160000011</v>
      </c>
      <c r="K22" s="3">
        <v>327264153.97000003</v>
      </c>
      <c r="L22" s="3">
        <v>8231033.2099999888</v>
      </c>
      <c r="M22" s="3">
        <v>0</v>
      </c>
      <c r="N22" s="3">
        <v>11790308.09</v>
      </c>
      <c r="O22" s="16">
        <v>864133620.08360016</v>
      </c>
    </row>
    <row r="23" spans="2:15" x14ac:dyDescent="0.2">
      <c r="B23" s="38" t="s">
        <v>22</v>
      </c>
      <c r="C23" s="3">
        <v>36115384.900000125</v>
      </c>
      <c r="D23" s="3">
        <v>0</v>
      </c>
      <c r="E23" s="3">
        <v>6697622.1699999999</v>
      </c>
      <c r="F23" s="3">
        <v>0</v>
      </c>
      <c r="G23" s="3">
        <v>0</v>
      </c>
      <c r="H23" s="3">
        <v>4303145.3799999868</v>
      </c>
      <c r="I23" s="3">
        <v>26012579.860000007</v>
      </c>
      <c r="J23" s="3">
        <v>19570837.25</v>
      </c>
      <c r="K23" s="3">
        <v>61262978.869999997</v>
      </c>
      <c r="L23" s="3">
        <v>6768593.0400000019</v>
      </c>
      <c r="M23" s="3">
        <v>0</v>
      </c>
      <c r="N23" s="3">
        <v>0</v>
      </c>
      <c r="O23" s="17">
        <v>160731141.47000012</v>
      </c>
    </row>
    <row r="24" spans="2:15" ht="10.5" x14ac:dyDescent="0.25">
      <c r="B24" s="36" t="s">
        <v>25</v>
      </c>
      <c r="C24" s="1">
        <v>4791263620.1599998</v>
      </c>
      <c r="D24" s="1">
        <v>0</v>
      </c>
      <c r="E24" s="1">
        <v>2672083648.3400002</v>
      </c>
      <c r="F24" s="1">
        <v>0</v>
      </c>
      <c r="G24" s="1">
        <v>0</v>
      </c>
      <c r="H24" s="1">
        <v>10417255.16</v>
      </c>
      <c r="I24" s="1">
        <v>3096368345</v>
      </c>
      <c r="J24" s="1">
        <v>4810844622.5299997</v>
      </c>
      <c r="K24" s="1">
        <v>20170392200.440002</v>
      </c>
      <c r="L24" s="1">
        <v>0</v>
      </c>
      <c r="M24" s="1">
        <v>0</v>
      </c>
      <c r="N24" s="1">
        <v>1980983881.6299999</v>
      </c>
      <c r="O24" s="1">
        <v>37532353573.260002</v>
      </c>
    </row>
    <row r="25" spans="2:15" x14ac:dyDescent="0.2">
      <c r="B25" s="37" t="s">
        <v>21</v>
      </c>
      <c r="C25" s="3">
        <v>1132355714.25</v>
      </c>
      <c r="D25" s="3">
        <v>0</v>
      </c>
      <c r="E25" s="3">
        <v>120032394.34</v>
      </c>
      <c r="F25" s="3">
        <v>0</v>
      </c>
      <c r="G25" s="3">
        <v>0</v>
      </c>
      <c r="H25" s="3">
        <v>6811002.1100000003</v>
      </c>
      <c r="I25" s="3">
        <v>595123268.98000002</v>
      </c>
      <c r="J25" s="3">
        <v>1215911431.79</v>
      </c>
      <c r="K25" s="3">
        <v>4057877351.8199997</v>
      </c>
      <c r="L25" s="3">
        <v>0</v>
      </c>
      <c r="M25" s="3">
        <v>0</v>
      </c>
      <c r="N25" s="3">
        <v>763965369.90999997</v>
      </c>
      <c r="O25" s="16">
        <v>7892076533.1999989</v>
      </c>
    </row>
    <row r="26" spans="2:15" x14ac:dyDescent="0.2">
      <c r="B26" s="37" t="s">
        <v>23</v>
      </c>
      <c r="C26" s="3">
        <v>3532779747.8499994</v>
      </c>
      <c r="D26" s="3">
        <v>0</v>
      </c>
      <c r="E26" s="3">
        <v>2235964649.1399999</v>
      </c>
      <c r="F26" s="3">
        <v>0</v>
      </c>
      <c r="G26" s="3">
        <v>0</v>
      </c>
      <c r="H26" s="3">
        <v>2694390.9</v>
      </c>
      <c r="I26" s="3">
        <v>2362397604.75</v>
      </c>
      <c r="J26" s="3">
        <v>3229572711.27</v>
      </c>
      <c r="K26" s="3">
        <v>14839983075.290001</v>
      </c>
      <c r="L26" s="3">
        <v>0</v>
      </c>
      <c r="M26" s="3">
        <v>0</v>
      </c>
      <c r="N26" s="3">
        <v>671920994.98000002</v>
      </c>
      <c r="O26" s="16">
        <v>26875313174.18</v>
      </c>
    </row>
    <row r="27" spans="2:15" x14ac:dyDescent="0.2">
      <c r="B27" s="38" t="s">
        <v>22</v>
      </c>
      <c r="C27" s="3">
        <v>126128158.05999999</v>
      </c>
      <c r="D27" s="3">
        <v>0</v>
      </c>
      <c r="E27" s="3">
        <v>316086604.86000001</v>
      </c>
      <c r="F27" s="3">
        <v>0</v>
      </c>
      <c r="G27" s="3">
        <v>0</v>
      </c>
      <c r="H27" s="3">
        <v>911862.15</v>
      </c>
      <c r="I27" s="3">
        <v>138847471.27000001</v>
      </c>
      <c r="J27" s="3">
        <v>365360479.47000003</v>
      </c>
      <c r="K27" s="3">
        <v>1272531773.3299999</v>
      </c>
      <c r="L27" s="3">
        <v>0</v>
      </c>
      <c r="M27" s="3">
        <v>0</v>
      </c>
      <c r="N27" s="3">
        <v>545097516.74000001</v>
      </c>
      <c r="O27" s="17">
        <v>2764963865.8800001</v>
      </c>
    </row>
    <row r="28" spans="2:15" ht="10.5" x14ac:dyDescent="0.25">
      <c r="B28" s="36" t="s">
        <v>26</v>
      </c>
      <c r="C28" s="1">
        <v>0</v>
      </c>
      <c r="D28" s="1">
        <v>0</v>
      </c>
      <c r="E28" s="1">
        <v>0</v>
      </c>
      <c r="F28" s="1">
        <v>364587060.92000002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364587060.92000002</v>
      </c>
    </row>
    <row r="29" spans="2:15" x14ac:dyDescent="0.2">
      <c r="B29" s="37" t="s">
        <v>21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16">
        <v>0</v>
      </c>
    </row>
    <row r="30" spans="2:15" x14ac:dyDescent="0.2">
      <c r="B30" s="37" t="s">
        <v>23</v>
      </c>
      <c r="C30" s="3">
        <v>0</v>
      </c>
      <c r="D30" s="3">
        <v>0</v>
      </c>
      <c r="E30" s="3">
        <v>0</v>
      </c>
      <c r="F30" s="3">
        <v>70830609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16">
        <v>70830609</v>
      </c>
    </row>
    <row r="31" spans="2:15" x14ac:dyDescent="0.2">
      <c r="B31" s="38" t="s">
        <v>22</v>
      </c>
      <c r="C31" s="3">
        <v>0</v>
      </c>
      <c r="D31" s="3">
        <v>0</v>
      </c>
      <c r="E31" s="3">
        <v>0</v>
      </c>
      <c r="F31" s="3">
        <v>293756451.92000002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17">
        <v>293756451.92000002</v>
      </c>
    </row>
    <row r="32" spans="2:15" ht="10.5" x14ac:dyDescent="0.25">
      <c r="B32" s="36" t="s">
        <v>7</v>
      </c>
      <c r="C32" s="1">
        <v>38842960.840000004</v>
      </c>
      <c r="D32" s="1">
        <v>13499246.859999999</v>
      </c>
      <c r="E32" s="1">
        <v>2583454.21</v>
      </c>
      <c r="F32" s="1">
        <v>0</v>
      </c>
      <c r="G32" s="1">
        <v>0</v>
      </c>
      <c r="H32" s="1">
        <v>1494713.2799999998</v>
      </c>
      <c r="I32" s="1">
        <v>10292507.35</v>
      </c>
      <c r="J32" s="1">
        <v>6358300.5999999996</v>
      </c>
      <c r="K32" s="1">
        <v>57274464.970000006</v>
      </c>
      <c r="L32" s="1">
        <v>2331038.34</v>
      </c>
      <c r="M32" s="1">
        <v>142157802.93598279</v>
      </c>
      <c r="N32" s="1">
        <v>0</v>
      </c>
      <c r="O32" s="1">
        <v>274834489.38598281</v>
      </c>
    </row>
    <row r="33" spans="2:15" x14ac:dyDescent="0.2">
      <c r="B33" s="37" t="s">
        <v>21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16">
        <v>0</v>
      </c>
    </row>
    <row r="34" spans="2:15" x14ac:dyDescent="0.2">
      <c r="B34" s="37" t="s">
        <v>23</v>
      </c>
      <c r="C34" s="3">
        <v>36753169.780000001</v>
      </c>
      <c r="D34" s="3">
        <v>13499246.859999999</v>
      </c>
      <c r="E34" s="3">
        <v>2583454.21</v>
      </c>
      <c r="F34" s="3">
        <v>0</v>
      </c>
      <c r="G34" s="3">
        <v>0</v>
      </c>
      <c r="H34" s="3">
        <v>1485941.65</v>
      </c>
      <c r="I34" s="3">
        <v>622937.77</v>
      </c>
      <c r="J34" s="3">
        <v>6147008.0899999999</v>
      </c>
      <c r="K34" s="3">
        <v>56310528.090000004</v>
      </c>
      <c r="L34" s="3">
        <v>1745169.5699999998</v>
      </c>
      <c r="M34" s="3">
        <v>128201860.49667946</v>
      </c>
      <c r="N34" s="3">
        <v>0</v>
      </c>
      <c r="O34" s="16">
        <v>247349316.51667947</v>
      </c>
    </row>
    <row r="35" spans="2:15" x14ac:dyDescent="0.2">
      <c r="B35" s="38" t="s">
        <v>22</v>
      </c>
      <c r="C35" s="3">
        <v>2089791.06</v>
      </c>
      <c r="D35" s="3">
        <v>0</v>
      </c>
      <c r="E35" s="3">
        <v>0</v>
      </c>
      <c r="F35" s="3">
        <v>0</v>
      </c>
      <c r="G35" s="3">
        <v>0</v>
      </c>
      <c r="H35" s="3">
        <v>8771.630000000001</v>
      </c>
      <c r="I35" s="3">
        <v>9669569.5800000001</v>
      </c>
      <c r="J35" s="3">
        <v>211292.51</v>
      </c>
      <c r="K35" s="3">
        <v>963936.88</v>
      </c>
      <c r="L35" s="3">
        <v>585868.77</v>
      </c>
      <c r="M35" s="3">
        <v>13955942.439303348</v>
      </c>
      <c r="N35" s="3">
        <v>0</v>
      </c>
      <c r="O35" s="17">
        <v>27485172.869303346</v>
      </c>
    </row>
    <row r="36" spans="2:15" ht="11" thickBot="1" x14ac:dyDescent="0.3">
      <c r="B36" s="39" t="s">
        <v>2</v>
      </c>
      <c r="C36" s="6">
        <v>476591725627.32355</v>
      </c>
      <c r="D36" s="6">
        <v>137576912399.60208</v>
      </c>
      <c r="E36" s="6">
        <v>119473912571.57462</v>
      </c>
      <c r="F36" s="6">
        <v>99625311780.156601</v>
      </c>
      <c r="G36" s="6">
        <v>6044440420.4537811</v>
      </c>
      <c r="H36" s="6">
        <v>7642766466.2105856</v>
      </c>
      <c r="I36" s="6">
        <v>227818196262.07147</v>
      </c>
      <c r="J36" s="6">
        <v>170738661861.57562</v>
      </c>
      <c r="K36" s="6">
        <v>445131086678.55042</v>
      </c>
      <c r="L36" s="6">
        <v>43244528360.190643</v>
      </c>
      <c r="M36" s="6">
        <v>280327683.36598277</v>
      </c>
      <c r="N36" s="6">
        <v>21078238077.760002</v>
      </c>
      <c r="O36" s="7">
        <v>1755246108188.8352</v>
      </c>
    </row>
    <row r="37" spans="2:15" ht="11" thickTop="1" x14ac:dyDescent="0.25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0.5" x14ac:dyDescent="0.25"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ht="10.5" x14ac:dyDescent="0.2">
      <c r="B39" s="49" t="s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v>0</v>
      </c>
    </row>
    <row r="40" spans="2:15" x14ac:dyDescent="0.25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42" x14ac:dyDescent="0.25">
      <c r="B41" s="35" t="s">
        <v>0</v>
      </c>
      <c r="C41" s="21" t="s">
        <v>16</v>
      </c>
      <c r="D41" s="21" t="s">
        <v>17</v>
      </c>
      <c r="E41" s="21" t="s">
        <v>27</v>
      </c>
      <c r="F41" s="21" t="s">
        <v>28</v>
      </c>
      <c r="G41" s="21" t="s">
        <v>18</v>
      </c>
      <c r="H41" s="21" t="s">
        <v>19</v>
      </c>
      <c r="I41" s="21" t="s">
        <v>12</v>
      </c>
      <c r="J41" s="21" t="s">
        <v>13</v>
      </c>
      <c r="K41" s="21" t="s">
        <v>15</v>
      </c>
      <c r="L41" s="21" t="s">
        <v>14</v>
      </c>
      <c r="M41" s="21" t="s">
        <v>29</v>
      </c>
      <c r="N41" s="21" t="s">
        <v>1</v>
      </c>
      <c r="O41" s="22" t="s">
        <v>2</v>
      </c>
    </row>
    <row r="42" spans="2:15" ht="10.5" x14ac:dyDescent="0.25">
      <c r="B42" s="36" t="s">
        <v>36</v>
      </c>
      <c r="C42" s="1">
        <v>117842546999.52834</v>
      </c>
      <c r="D42" s="1">
        <v>60867315538.061462</v>
      </c>
      <c r="E42" s="1">
        <v>34253219284.074745</v>
      </c>
      <c r="F42" s="1">
        <v>12028336239.995161</v>
      </c>
      <c r="G42" s="1">
        <v>1610307445.102602</v>
      </c>
      <c r="H42" s="1">
        <v>1623602676.8899999</v>
      </c>
      <c r="I42" s="1">
        <v>87310731975.630524</v>
      </c>
      <c r="J42" s="1">
        <v>48967178779.320747</v>
      </c>
      <c r="K42" s="1">
        <v>121742867066.24365</v>
      </c>
      <c r="L42" s="1">
        <v>19923283487.802601</v>
      </c>
      <c r="M42" s="1">
        <v>125814273.81</v>
      </c>
      <c r="N42" s="1">
        <v>12693498415.860001</v>
      </c>
      <c r="O42" s="1">
        <v>518988702182.31982</v>
      </c>
    </row>
    <row r="43" spans="2:15" x14ac:dyDescent="0.2">
      <c r="B43" s="37" t="s">
        <v>21</v>
      </c>
      <c r="C43" s="3">
        <v>19235410390.366405</v>
      </c>
      <c r="D43" s="3">
        <v>0</v>
      </c>
      <c r="E43" s="3">
        <v>13417608897.880838</v>
      </c>
      <c r="F43" s="3">
        <v>0</v>
      </c>
      <c r="G43" s="3">
        <v>0</v>
      </c>
      <c r="H43" s="3">
        <v>135364215.48999986</v>
      </c>
      <c r="I43" s="3">
        <v>37185622861.966766</v>
      </c>
      <c r="J43" s="3">
        <v>15786317199.086794</v>
      </c>
      <c r="K43" s="3">
        <v>26122013599.599998</v>
      </c>
      <c r="L43" s="3">
        <v>12925383640.384514</v>
      </c>
      <c r="M43" s="3">
        <v>0</v>
      </c>
      <c r="N43" s="3">
        <v>437301052.80000019</v>
      </c>
      <c r="O43" s="16">
        <v>125245021857.57533</v>
      </c>
    </row>
    <row r="44" spans="2:15" x14ac:dyDescent="0.2">
      <c r="B44" s="37" t="s">
        <v>23</v>
      </c>
      <c r="C44" s="3">
        <v>98352048296.021927</v>
      </c>
      <c r="D44" s="3">
        <v>60867302344.971466</v>
      </c>
      <c r="E44" s="3">
        <v>20764601282.41391</v>
      </c>
      <c r="F44" s="3">
        <v>12008069905.345161</v>
      </c>
      <c r="G44" s="3">
        <v>1610307445.102602</v>
      </c>
      <c r="H44" s="3">
        <v>1485900740.8100002</v>
      </c>
      <c r="I44" s="3">
        <v>50043325612.553757</v>
      </c>
      <c r="J44" s="3">
        <v>33023033788.703953</v>
      </c>
      <c r="K44" s="3">
        <v>95079939006.893661</v>
      </c>
      <c r="L44" s="3">
        <v>6992941333.4280872</v>
      </c>
      <c r="M44" s="3">
        <v>125814273.81</v>
      </c>
      <c r="N44" s="3">
        <v>12165405968.4</v>
      </c>
      <c r="O44" s="16">
        <v>392518689998.45459</v>
      </c>
    </row>
    <row r="45" spans="2:15" x14ac:dyDescent="0.2">
      <c r="B45" s="38" t="s">
        <v>22</v>
      </c>
      <c r="C45" s="3">
        <v>255088313.13999996</v>
      </c>
      <c r="D45" s="3">
        <v>13193.09</v>
      </c>
      <c r="E45" s="3">
        <v>71009103.780000001</v>
      </c>
      <c r="F45" s="3">
        <v>20266334.649999999</v>
      </c>
      <c r="G45" s="3">
        <v>0</v>
      </c>
      <c r="H45" s="3">
        <v>2337720.5900000003</v>
      </c>
      <c r="I45" s="3">
        <v>81783501.109999985</v>
      </c>
      <c r="J45" s="3">
        <v>157827791.53000003</v>
      </c>
      <c r="K45" s="3">
        <v>540914459.75</v>
      </c>
      <c r="L45" s="3">
        <v>4958513.99</v>
      </c>
      <c r="M45" s="3">
        <v>0</v>
      </c>
      <c r="N45" s="3">
        <v>90791394.660000011</v>
      </c>
      <c r="O45" s="17">
        <v>1224990326.29</v>
      </c>
    </row>
    <row r="46" spans="2:15" x14ac:dyDescent="0.2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ht="10.5" x14ac:dyDescent="0.2">
      <c r="B48" s="49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v>0</v>
      </c>
    </row>
    <row r="49" spans="2:15" ht="10.5" x14ac:dyDescent="0.25">
      <c r="B49" s="4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2:15" ht="42" x14ac:dyDescent="0.25">
      <c r="B50" s="35" t="s">
        <v>30</v>
      </c>
      <c r="C50" s="21" t="s">
        <v>16</v>
      </c>
      <c r="D50" s="21" t="s">
        <v>17</v>
      </c>
      <c r="E50" s="21" t="s">
        <v>27</v>
      </c>
      <c r="F50" s="21" t="s">
        <v>28</v>
      </c>
      <c r="G50" s="21" t="s">
        <v>18</v>
      </c>
      <c r="H50" s="21" t="s">
        <v>19</v>
      </c>
      <c r="I50" s="21" t="s">
        <v>12</v>
      </c>
      <c r="J50" s="21" t="s">
        <v>13</v>
      </c>
      <c r="K50" s="21" t="s">
        <v>15</v>
      </c>
      <c r="L50" s="21" t="s">
        <v>14</v>
      </c>
      <c r="M50" s="21" t="s">
        <v>29</v>
      </c>
      <c r="N50" s="21" t="s">
        <v>1</v>
      </c>
      <c r="O50" s="22" t="s">
        <v>2</v>
      </c>
    </row>
    <row r="51" spans="2:15" ht="10.5" x14ac:dyDescent="0.25">
      <c r="B51" s="36" t="s">
        <v>31</v>
      </c>
      <c r="C51" s="1">
        <v>1840148</v>
      </c>
      <c r="D51" s="1">
        <v>42586</v>
      </c>
      <c r="E51" s="1">
        <v>143986</v>
      </c>
      <c r="F51" s="1">
        <v>25673</v>
      </c>
      <c r="G51" s="1">
        <v>89186</v>
      </c>
      <c r="H51" s="1">
        <v>64537</v>
      </c>
      <c r="I51" s="1">
        <v>599195</v>
      </c>
      <c r="J51" s="1">
        <v>172940</v>
      </c>
      <c r="K51" s="1">
        <v>303616</v>
      </c>
      <c r="L51" s="1">
        <v>40982</v>
      </c>
      <c r="M51" s="1">
        <v>707</v>
      </c>
      <c r="N51" s="1">
        <v>5600</v>
      </c>
      <c r="O51" s="1">
        <v>3329156</v>
      </c>
    </row>
    <row r="52" spans="2:15" x14ac:dyDescent="0.2">
      <c r="B52" s="37" t="s">
        <v>21</v>
      </c>
      <c r="C52" s="3">
        <v>229719</v>
      </c>
      <c r="D52" s="3">
        <v>1665</v>
      </c>
      <c r="E52" s="3">
        <v>101930</v>
      </c>
      <c r="F52" s="3">
        <v>3967</v>
      </c>
      <c r="G52" s="3">
        <v>0</v>
      </c>
      <c r="H52" s="3">
        <v>34830</v>
      </c>
      <c r="I52" s="3">
        <v>277674</v>
      </c>
      <c r="J52" s="3">
        <v>60096</v>
      </c>
      <c r="K52" s="3">
        <v>84629</v>
      </c>
      <c r="L52" s="3">
        <v>35363</v>
      </c>
      <c r="M52" s="3">
        <v>511</v>
      </c>
      <c r="N52" s="3">
        <v>3546</v>
      </c>
      <c r="O52" s="16">
        <v>833930</v>
      </c>
    </row>
    <row r="53" spans="2:15" x14ac:dyDescent="0.2">
      <c r="B53" s="37" t="s">
        <v>23</v>
      </c>
      <c r="C53" s="3">
        <v>321456</v>
      </c>
      <c r="D53" s="3">
        <v>35786</v>
      </c>
      <c r="E53" s="3">
        <v>39137</v>
      </c>
      <c r="F53" s="3">
        <v>21137</v>
      </c>
      <c r="G53" s="3">
        <v>65411</v>
      </c>
      <c r="H53" s="3">
        <v>18965</v>
      </c>
      <c r="I53" s="3">
        <v>252345</v>
      </c>
      <c r="J53" s="3">
        <v>95592</v>
      </c>
      <c r="K53" s="3">
        <v>199175</v>
      </c>
      <c r="L53" s="3">
        <v>4812</v>
      </c>
      <c r="M53" s="3">
        <v>153</v>
      </c>
      <c r="N53" s="3">
        <v>1719</v>
      </c>
      <c r="O53" s="16">
        <v>1055688</v>
      </c>
    </row>
    <row r="54" spans="2:15" x14ac:dyDescent="0.2">
      <c r="B54" s="38" t="s">
        <v>22</v>
      </c>
      <c r="C54" s="3">
        <v>1288973</v>
      </c>
      <c r="D54" s="3">
        <v>5135</v>
      </c>
      <c r="E54" s="3">
        <v>2919</v>
      </c>
      <c r="F54" s="3">
        <v>569</v>
      </c>
      <c r="G54" s="3">
        <v>23775</v>
      </c>
      <c r="H54" s="3">
        <v>10742</v>
      </c>
      <c r="I54" s="3">
        <v>69176</v>
      </c>
      <c r="J54" s="3">
        <v>17252</v>
      </c>
      <c r="K54" s="3">
        <v>19812</v>
      </c>
      <c r="L54" s="3">
        <v>807</v>
      </c>
      <c r="M54" s="3">
        <v>43</v>
      </c>
      <c r="N54" s="3">
        <v>335</v>
      </c>
      <c r="O54" s="17">
        <v>1439538</v>
      </c>
    </row>
    <row r="55" spans="2:15" ht="10.5" x14ac:dyDescent="0.25">
      <c r="B55" s="4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2:15" ht="10.5" x14ac:dyDescent="0.25">
      <c r="B56" s="41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2:15" ht="10.5" x14ac:dyDescent="0.25">
      <c r="B57" s="49" t="s">
        <v>41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4"/>
    </row>
    <row r="58" spans="2:15" ht="10.5" x14ac:dyDescent="0.25">
      <c r="B58" s="4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2:15" ht="42" x14ac:dyDescent="0.25">
      <c r="B59" s="35" t="s">
        <v>9</v>
      </c>
      <c r="C59" s="21" t="s">
        <v>16</v>
      </c>
      <c r="D59" s="21" t="s">
        <v>17</v>
      </c>
      <c r="E59" s="21" t="s">
        <v>27</v>
      </c>
      <c r="F59" s="21" t="s">
        <v>28</v>
      </c>
      <c r="G59" s="21" t="s">
        <v>18</v>
      </c>
      <c r="H59" s="21" t="s">
        <v>19</v>
      </c>
      <c r="I59" s="21" t="s">
        <v>12</v>
      </c>
      <c r="J59" s="21" t="s">
        <v>13</v>
      </c>
      <c r="K59" s="21" t="s">
        <v>15</v>
      </c>
      <c r="L59" s="21" t="s">
        <v>14</v>
      </c>
      <c r="M59" s="21" t="s">
        <v>29</v>
      </c>
      <c r="N59" s="21" t="s">
        <v>1</v>
      </c>
      <c r="O59" s="22" t="s">
        <v>2</v>
      </c>
    </row>
    <row r="60" spans="2:15" ht="10.5" x14ac:dyDescent="0.25">
      <c r="B60" s="3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</row>
    <row r="61" spans="2:15" ht="10.5" x14ac:dyDescent="0.25">
      <c r="B61" s="43" t="s">
        <v>33</v>
      </c>
      <c r="C61" s="9">
        <v>23031249876.115723</v>
      </c>
      <c r="D61" s="9">
        <v>2689121500.5029578</v>
      </c>
      <c r="E61" s="9">
        <v>5247777455.2896547</v>
      </c>
      <c r="F61" s="9">
        <v>3263770320.4002542</v>
      </c>
      <c r="G61" s="9">
        <v>386185627.35999918</v>
      </c>
      <c r="H61" s="9">
        <v>250579203.87909985</v>
      </c>
      <c r="I61" s="9">
        <v>6849077010.4902439</v>
      </c>
      <c r="J61" s="9">
        <v>7542406877.1582975</v>
      </c>
      <c r="K61" s="9">
        <v>13847291396.485582</v>
      </c>
      <c r="L61" s="9">
        <v>1690827846.8336713</v>
      </c>
      <c r="M61" s="9">
        <v>33148685.76000005</v>
      </c>
      <c r="N61" s="9">
        <v>1217287186.7199993</v>
      </c>
      <c r="O61" s="10">
        <v>66048722986.995476</v>
      </c>
    </row>
    <row r="62" spans="2:15" ht="10.5" x14ac:dyDescent="0.25">
      <c r="B62" s="36" t="s">
        <v>34</v>
      </c>
      <c r="C62" s="1">
        <v>21541064262.915722</v>
      </c>
      <c r="D62" s="1">
        <v>2689121500.5029578</v>
      </c>
      <c r="E62" s="1">
        <v>4652599635.3596563</v>
      </c>
      <c r="F62" s="1">
        <v>3113711902.6003308</v>
      </c>
      <c r="G62" s="1">
        <v>212990466.64999998</v>
      </c>
      <c r="H62" s="1">
        <v>114165127.23909996</v>
      </c>
      <c r="I62" s="1">
        <v>4043217524.7502413</v>
      </c>
      <c r="J62" s="1">
        <v>7366414520.4182978</v>
      </c>
      <c r="K62" s="1">
        <v>13847291396.485582</v>
      </c>
      <c r="L62" s="1">
        <v>1690827846.8336713</v>
      </c>
      <c r="M62" s="1">
        <v>33148685.76000005</v>
      </c>
      <c r="N62" s="1">
        <v>656267204.68000019</v>
      </c>
      <c r="O62" s="11">
        <v>59960820074.195564</v>
      </c>
    </row>
    <row r="63" spans="2:15" x14ac:dyDescent="0.2">
      <c r="B63" s="37" t="s">
        <v>21</v>
      </c>
      <c r="C63" s="3">
        <v>4756320243.1808271</v>
      </c>
      <c r="D63" s="3">
        <v>75740016.077703774</v>
      </c>
      <c r="E63" s="3">
        <v>2734087794.7667685</v>
      </c>
      <c r="F63" s="3">
        <v>163311611.98567194</v>
      </c>
      <c r="G63" s="3">
        <v>0</v>
      </c>
      <c r="H63" s="3">
        <v>42039840.674688078</v>
      </c>
      <c r="I63" s="3">
        <v>984663195.0114975</v>
      </c>
      <c r="J63" s="3">
        <v>2147282274.8225658</v>
      </c>
      <c r="K63" s="3">
        <v>4147616362.972579</v>
      </c>
      <c r="L63" s="3">
        <v>793902603.31923652</v>
      </c>
      <c r="M63" s="3">
        <v>155.9472187991106</v>
      </c>
      <c r="N63" s="3">
        <v>355566457.68800008</v>
      </c>
      <c r="O63" s="5">
        <v>16200530556.446756</v>
      </c>
    </row>
    <row r="64" spans="2:15" x14ac:dyDescent="0.2">
      <c r="B64" s="37" t="s">
        <v>23</v>
      </c>
      <c r="C64" s="3">
        <v>15089682859.432032</v>
      </c>
      <c r="D64" s="3">
        <v>2384116199.0265236</v>
      </c>
      <c r="E64" s="3">
        <v>1903561371.7428873</v>
      </c>
      <c r="F64" s="3">
        <v>2858614066.977602</v>
      </c>
      <c r="G64" s="3">
        <v>163923469.76999998</v>
      </c>
      <c r="H64" s="3">
        <v>52870507.004411891</v>
      </c>
      <c r="I64" s="3">
        <v>2688746413.1887436</v>
      </c>
      <c r="J64" s="3">
        <v>4989169985.3057318</v>
      </c>
      <c r="K64" s="3">
        <v>9366797273.5730038</v>
      </c>
      <c r="L64" s="3">
        <v>778499090.96835101</v>
      </c>
      <c r="M64" s="3">
        <v>33148529.812781252</v>
      </c>
      <c r="N64" s="3">
        <v>300678168.53200006</v>
      </c>
      <c r="O64" s="5">
        <v>40609807935.334076</v>
      </c>
    </row>
    <row r="65" spans="2:15" x14ac:dyDescent="0.2">
      <c r="B65" s="38" t="s">
        <v>22</v>
      </c>
      <c r="C65" s="3">
        <v>1695061160.3028641</v>
      </c>
      <c r="D65" s="3">
        <v>229265285.39873028</v>
      </c>
      <c r="E65" s="3">
        <v>14950468.85</v>
      </c>
      <c r="F65" s="3">
        <v>91786223.637057006</v>
      </c>
      <c r="G65" s="3">
        <v>49066996.87999998</v>
      </c>
      <c r="H65" s="3">
        <v>19254779.559999987</v>
      </c>
      <c r="I65" s="3">
        <v>369807916.55000001</v>
      </c>
      <c r="J65" s="3">
        <v>229962260.29000008</v>
      </c>
      <c r="K65" s="3">
        <v>332877759.93999988</v>
      </c>
      <c r="L65" s="3">
        <v>118426152.54608376</v>
      </c>
      <c r="M65" s="3">
        <v>0</v>
      </c>
      <c r="N65" s="3">
        <v>22578.460000000003</v>
      </c>
      <c r="O65" s="14">
        <v>3150481582.4147353</v>
      </c>
    </row>
    <row r="66" spans="2:15" ht="10.5" x14ac:dyDescent="0.25">
      <c r="B66" s="36" t="s">
        <v>35</v>
      </c>
      <c r="C66" s="15">
        <v>1490185613.2</v>
      </c>
      <c r="D66" s="15">
        <v>0</v>
      </c>
      <c r="E66" s="15">
        <v>595177819.92999828</v>
      </c>
      <c r="F66" s="15">
        <v>150058417.7999233</v>
      </c>
      <c r="G66" s="15">
        <v>173195160.7099992</v>
      </c>
      <c r="H66" s="15">
        <v>136414076.6399999</v>
      </c>
      <c r="I66" s="15">
        <v>2805859485.7400026</v>
      </c>
      <c r="J66" s="15">
        <v>175992356.73999977</v>
      </c>
      <c r="K66" s="15">
        <v>0</v>
      </c>
      <c r="L66" s="15">
        <v>0</v>
      </c>
      <c r="M66" s="15">
        <v>0</v>
      </c>
      <c r="N66" s="15">
        <v>561019982.03999925</v>
      </c>
      <c r="O66" s="2">
        <v>6087902912.799922</v>
      </c>
    </row>
    <row r="67" spans="2:15" x14ac:dyDescent="0.2">
      <c r="B67" s="37" t="s">
        <v>21</v>
      </c>
      <c r="C67" s="3">
        <v>351335014.15414542</v>
      </c>
      <c r="D67" s="3">
        <v>0</v>
      </c>
      <c r="E67" s="3">
        <v>172614690.20581096</v>
      </c>
      <c r="F67" s="3">
        <v>117494325.58809824</v>
      </c>
      <c r="G67" s="3">
        <v>0</v>
      </c>
      <c r="H67" s="3">
        <v>66786683.491926149</v>
      </c>
      <c r="I67" s="3">
        <v>981765757.86707592</v>
      </c>
      <c r="J67" s="3">
        <v>0</v>
      </c>
      <c r="K67" s="3">
        <v>0</v>
      </c>
      <c r="L67" s="3">
        <v>0</v>
      </c>
      <c r="M67" s="3">
        <v>0</v>
      </c>
      <c r="N67" s="3">
        <v>283315090.93019962</v>
      </c>
      <c r="O67" s="5">
        <v>1973311562.2372565</v>
      </c>
    </row>
    <row r="68" spans="2:15" x14ac:dyDescent="0.2">
      <c r="B68" s="37" t="s">
        <v>23</v>
      </c>
      <c r="C68" s="3">
        <v>1037220424.7058547</v>
      </c>
      <c r="D68" s="3">
        <v>0</v>
      </c>
      <c r="E68" s="3">
        <v>417053830.18418735</v>
      </c>
      <c r="F68" s="3">
        <v>32564092.211825054</v>
      </c>
      <c r="G68" s="3">
        <v>136240872.98999918</v>
      </c>
      <c r="H68" s="3">
        <v>49651261.978073783</v>
      </c>
      <c r="I68" s="3">
        <v>1625163821.5229268</v>
      </c>
      <c r="J68" s="3">
        <v>171052771.56999981</v>
      </c>
      <c r="K68" s="3">
        <v>0</v>
      </c>
      <c r="L68" s="3">
        <v>0</v>
      </c>
      <c r="M68" s="3">
        <v>0</v>
      </c>
      <c r="N68" s="3">
        <v>277704891.10979962</v>
      </c>
      <c r="O68" s="5">
        <v>3746651966.272666</v>
      </c>
    </row>
    <row r="69" spans="2:15" x14ac:dyDescent="0.2">
      <c r="B69" s="38" t="s">
        <v>22</v>
      </c>
      <c r="C69" s="3">
        <v>101630174.33999994</v>
      </c>
      <c r="D69" s="3">
        <v>0</v>
      </c>
      <c r="E69" s="3">
        <v>5509299.5399999991</v>
      </c>
      <c r="F69" s="3">
        <v>0</v>
      </c>
      <c r="G69" s="3">
        <v>36954287.720000029</v>
      </c>
      <c r="H69" s="3">
        <v>19976131.169999957</v>
      </c>
      <c r="I69" s="3">
        <v>198929906.34999976</v>
      </c>
      <c r="J69" s="3">
        <v>4939585.1699999683</v>
      </c>
      <c r="K69" s="3">
        <v>0</v>
      </c>
      <c r="L69" s="3">
        <v>0</v>
      </c>
      <c r="M69" s="3">
        <v>0</v>
      </c>
      <c r="N69" s="3">
        <v>0</v>
      </c>
      <c r="O69" s="14">
        <v>367939384.2899996</v>
      </c>
    </row>
    <row r="70" spans="2:15" x14ac:dyDescent="0.25">
      <c r="B70" s="44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2"/>
      <c r="O70" s="32"/>
    </row>
    <row r="71" spans="2:15" ht="10.5" x14ac:dyDescent="0.25">
      <c r="B71" s="43" t="s">
        <v>11</v>
      </c>
      <c r="C71" s="9">
        <v>17416127827.606674</v>
      </c>
      <c r="D71" s="9">
        <v>3723785513.6899347</v>
      </c>
      <c r="E71" s="9">
        <v>4978823870.5504665</v>
      </c>
      <c r="F71" s="9">
        <v>1318292882.4173293</v>
      </c>
      <c r="G71" s="9">
        <v>135065352.86000001</v>
      </c>
      <c r="H71" s="9">
        <v>93404114.512500018</v>
      </c>
      <c r="I71" s="9">
        <v>4639640966.4031143</v>
      </c>
      <c r="J71" s="9">
        <v>6500690078.3892794</v>
      </c>
      <c r="K71" s="9">
        <v>12250816917.680706</v>
      </c>
      <c r="L71" s="9">
        <v>1453966632.1291528</v>
      </c>
      <c r="M71" s="9">
        <v>9283428.4700002298</v>
      </c>
      <c r="N71" s="9">
        <v>804184487.17999995</v>
      </c>
      <c r="O71" s="10">
        <v>53324082071.889153</v>
      </c>
    </row>
    <row r="72" spans="2:15" ht="10.5" x14ac:dyDescent="0.25">
      <c r="B72" s="36" t="s">
        <v>24</v>
      </c>
      <c r="C72" s="1">
        <v>14824065710.476671</v>
      </c>
      <c r="D72" s="1">
        <v>3723785513.6899347</v>
      </c>
      <c r="E72" s="1">
        <v>4469286223.9829674</v>
      </c>
      <c r="F72" s="1">
        <v>1274615754.189502</v>
      </c>
      <c r="G72" s="1">
        <v>135065352.86000001</v>
      </c>
      <c r="H72" s="1">
        <v>91130476.512500018</v>
      </c>
      <c r="I72" s="1">
        <v>4620811354.0831146</v>
      </c>
      <c r="J72" s="1">
        <v>6500690078.3892794</v>
      </c>
      <c r="K72" s="1">
        <v>5224109913.9207067</v>
      </c>
      <c r="L72" s="1">
        <v>364741135.63015091</v>
      </c>
      <c r="M72" s="1">
        <v>2774865.8720000233</v>
      </c>
      <c r="N72" s="1">
        <v>804184487.17999995</v>
      </c>
      <c r="O72" s="1">
        <v>42035260866.786835</v>
      </c>
    </row>
    <row r="73" spans="2:15" x14ac:dyDescent="0.2">
      <c r="B73" s="37" t="s">
        <v>21</v>
      </c>
      <c r="C73" s="3">
        <v>5292213422.0652933</v>
      </c>
      <c r="D73" s="3">
        <v>186361091.72207585</v>
      </c>
      <c r="E73" s="3">
        <v>2542889995.191462</v>
      </c>
      <c r="F73" s="3">
        <v>167670741.53196448</v>
      </c>
      <c r="G73" s="3">
        <v>0</v>
      </c>
      <c r="H73" s="3">
        <v>43989933.04026603</v>
      </c>
      <c r="I73" s="3">
        <v>1303819666.2489967</v>
      </c>
      <c r="J73" s="3">
        <v>1867792321.8654635</v>
      </c>
      <c r="K73" s="3">
        <v>1785402578.012321</v>
      </c>
      <c r="L73" s="3">
        <v>159810841.20804083</v>
      </c>
      <c r="M73" s="3">
        <v>485711.01670082548</v>
      </c>
      <c r="N73" s="3">
        <v>496885569.14974993</v>
      </c>
      <c r="O73" s="16">
        <v>13847321871.052332</v>
      </c>
    </row>
    <row r="74" spans="2:15" x14ac:dyDescent="0.2">
      <c r="B74" s="37" t="s">
        <v>23</v>
      </c>
      <c r="C74" s="3">
        <v>7787713526.3513794</v>
      </c>
      <c r="D74" s="3">
        <v>3286007007.1163116</v>
      </c>
      <c r="E74" s="3">
        <v>1837326552.1122007</v>
      </c>
      <c r="F74" s="3">
        <v>1082514971.7288034</v>
      </c>
      <c r="G74" s="3">
        <v>96911657.910000011</v>
      </c>
      <c r="H74" s="3">
        <v>34265180.21223399</v>
      </c>
      <c r="I74" s="3">
        <v>2986554357.419405</v>
      </c>
      <c r="J74" s="3">
        <v>4291636801.0438151</v>
      </c>
      <c r="K74" s="3">
        <v>3187357117.5383859</v>
      </c>
      <c r="L74" s="3">
        <v>184171483.29211012</v>
      </c>
      <c r="M74" s="3">
        <v>2289154.8552991976</v>
      </c>
      <c r="N74" s="3">
        <v>307298891.03025001</v>
      </c>
      <c r="O74" s="16">
        <v>25084046700.610199</v>
      </c>
    </row>
    <row r="75" spans="2:15" x14ac:dyDescent="0.2">
      <c r="B75" s="38" t="s">
        <v>22</v>
      </c>
      <c r="C75" s="3">
        <v>1744138762.0599999</v>
      </c>
      <c r="D75" s="3">
        <v>251417414.85154745</v>
      </c>
      <c r="E75" s="3">
        <v>89069676.679304406</v>
      </c>
      <c r="F75" s="3">
        <v>24430040.928733997</v>
      </c>
      <c r="G75" s="3">
        <v>38153694.95000001</v>
      </c>
      <c r="H75" s="3">
        <v>12875363.25999999</v>
      </c>
      <c r="I75" s="3">
        <v>330437330.41471326</v>
      </c>
      <c r="J75" s="3">
        <v>341260955.48000008</v>
      </c>
      <c r="K75" s="3">
        <v>251350218.36999997</v>
      </c>
      <c r="L75" s="3">
        <v>20758811.129999999</v>
      </c>
      <c r="M75" s="3">
        <v>0</v>
      </c>
      <c r="N75" s="3">
        <v>27</v>
      </c>
      <c r="O75" s="17">
        <v>3103892295.124299</v>
      </c>
    </row>
    <row r="76" spans="2:15" ht="10.5" x14ac:dyDescent="0.25">
      <c r="B76" s="36" t="s">
        <v>10</v>
      </c>
      <c r="C76" s="1">
        <v>2592062117.1300025</v>
      </c>
      <c r="D76" s="1">
        <v>0</v>
      </c>
      <c r="E76" s="1">
        <v>509537646.56749952</v>
      </c>
      <c r="F76" s="1">
        <v>43677128.22782743</v>
      </c>
      <c r="G76" s="1">
        <v>0</v>
      </c>
      <c r="H76" s="1">
        <v>2273638</v>
      </c>
      <c r="I76" s="1">
        <v>18829612.319999997</v>
      </c>
      <c r="J76" s="1">
        <v>0</v>
      </c>
      <c r="K76" s="1">
        <v>7026707003.7599983</v>
      </c>
      <c r="L76" s="1">
        <v>1089225496.4990017</v>
      </c>
      <c r="M76" s="1">
        <v>6508562.5980002061</v>
      </c>
      <c r="N76" s="1">
        <v>0</v>
      </c>
      <c r="O76" s="1">
        <v>11288821205.102331</v>
      </c>
    </row>
    <row r="77" spans="2:15" x14ac:dyDescent="0.2">
      <c r="B77" s="37" t="s">
        <v>21</v>
      </c>
      <c r="C77" s="3">
        <v>553731282.41000068</v>
      </c>
      <c r="D77" s="3">
        <v>0</v>
      </c>
      <c r="E77" s="3">
        <v>461447894.13749951</v>
      </c>
      <c r="F77" s="3">
        <v>43677128.22782743</v>
      </c>
      <c r="G77" s="3">
        <v>0</v>
      </c>
      <c r="H77" s="3">
        <v>0</v>
      </c>
      <c r="I77" s="3">
        <v>0</v>
      </c>
      <c r="J77" s="3">
        <v>0</v>
      </c>
      <c r="K77" s="3">
        <v>2039759040.9699984</v>
      </c>
      <c r="L77" s="3">
        <v>928917638.03900182</v>
      </c>
      <c r="M77" s="3">
        <v>6624350.5680002058</v>
      </c>
      <c r="N77" s="3">
        <v>0</v>
      </c>
      <c r="O77" s="16">
        <v>4034157334.3523283</v>
      </c>
    </row>
    <row r="78" spans="2:15" x14ac:dyDescent="0.2">
      <c r="B78" s="37" t="s">
        <v>23</v>
      </c>
      <c r="C78" s="3">
        <v>1980573171.7900021</v>
      </c>
      <c r="D78" s="3">
        <v>0</v>
      </c>
      <c r="E78" s="3">
        <v>48052552.429999985</v>
      </c>
      <c r="F78" s="3">
        <v>0</v>
      </c>
      <c r="G78" s="3">
        <v>0</v>
      </c>
      <c r="H78" s="3">
        <v>35000</v>
      </c>
      <c r="I78" s="3">
        <v>18829612.319999997</v>
      </c>
      <c r="J78" s="3">
        <v>0</v>
      </c>
      <c r="K78" s="3">
        <v>4657289441</v>
      </c>
      <c r="L78" s="3">
        <v>130483668.8399999</v>
      </c>
      <c r="M78" s="3">
        <v>-115787.97</v>
      </c>
      <c r="N78" s="3">
        <v>0</v>
      </c>
      <c r="O78" s="16">
        <v>6835147658.4100018</v>
      </c>
    </row>
    <row r="79" spans="2:15" x14ac:dyDescent="0.2">
      <c r="B79" s="38" t="s">
        <v>22</v>
      </c>
      <c r="C79" s="3">
        <v>57757662.93</v>
      </c>
      <c r="D79" s="3">
        <v>0</v>
      </c>
      <c r="E79" s="3">
        <v>37200</v>
      </c>
      <c r="F79" s="3">
        <v>0</v>
      </c>
      <c r="G79" s="3">
        <v>0</v>
      </c>
      <c r="H79" s="3">
        <v>2238638</v>
      </c>
      <c r="I79" s="3">
        <v>0</v>
      </c>
      <c r="J79" s="3">
        <v>0</v>
      </c>
      <c r="K79" s="3">
        <v>329658521.78999966</v>
      </c>
      <c r="L79" s="3">
        <v>29824189.620000005</v>
      </c>
      <c r="M79" s="3">
        <v>0</v>
      </c>
      <c r="N79" s="3">
        <v>0</v>
      </c>
      <c r="O79" s="17">
        <v>419516212.33999968</v>
      </c>
    </row>
    <row r="80" spans="2:15" ht="11" thickBot="1" x14ac:dyDescent="0.3">
      <c r="B80" s="39" t="s">
        <v>38</v>
      </c>
      <c r="C80" s="6">
        <v>5615122048.5090485</v>
      </c>
      <c r="D80" s="6">
        <v>-1034664013.1869769</v>
      </c>
      <c r="E80" s="6">
        <v>268953584.73918819</v>
      </c>
      <c r="F80" s="6">
        <v>1945477437.9829249</v>
      </c>
      <c r="G80" s="6">
        <v>251120274.49999917</v>
      </c>
      <c r="H80" s="6">
        <v>157175089.36659983</v>
      </c>
      <c r="I80" s="6">
        <v>2209436044.0871296</v>
      </c>
      <c r="J80" s="6">
        <v>1041716798.7690182</v>
      </c>
      <c r="K80" s="6">
        <v>1596474478.8048763</v>
      </c>
      <c r="L80" s="6">
        <v>236861214.70451856</v>
      </c>
      <c r="M80" s="6">
        <v>23865257.28999982</v>
      </c>
      <c r="N80" s="6">
        <v>413102699.53999937</v>
      </c>
      <c r="O80" s="7">
        <v>12724640915.106325</v>
      </c>
    </row>
    <row r="81" spans="2:15" ht="10.5" thickTop="1" x14ac:dyDescent="0.25">
      <c r="B81" s="4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x14ac:dyDescent="0.25">
      <c r="B82" s="46" t="s">
        <v>32</v>
      </c>
      <c r="C82" s="48">
        <v>3048039258.4042945</v>
      </c>
      <c r="D82" s="48">
        <v>586357796.91648507</v>
      </c>
      <c r="E82" s="48">
        <v>709760164.09684026</v>
      </c>
      <c r="F82" s="48">
        <v>496314.86085115816</v>
      </c>
      <c r="G82" s="48">
        <v>26578815.99000001</v>
      </c>
      <c r="H82" s="48">
        <v>18500847.940000042</v>
      </c>
      <c r="I82" s="48">
        <v>1311410981.3680286</v>
      </c>
      <c r="J82" s="48">
        <v>1085065650.1408796</v>
      </c>
      <c r="K82" s="48">
        <v>2839142900.0399976</v>
      </c>
      <c r="L82" s="48">
        <v>221189121.28936931</v>
      </c>
      <c r="M82" s="48">
        <v>0</v>
      </c>
      <c r="N82" s="48">
        <v>64358308.019999988</v>
      </c>
      <c r="O82" s="48">
        <v>10476746741.079075</v>
      </c>
    </row>
  </sheetData>
  <pageMargins left="0.75" right="0.75" top="1" bottom="1" header="0.5" footer="0.5"/>
  <pageSetup paperSize="9" scale="44" orientation="landscape" r:id="rId1"/>
  <headerFooter alignWithMargins="0">
    <oddFooter>&amp;L_x000D_&amp;1#&amp;"Calibri"&amp;8&amp;K000000 This document has been classified as PROTECTED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E0D7-93C1-4687-9131-5E5AC62DFF43}">
  <sheetPr>
    <pageSetUpPr fitToPage="1"/>
  </sheetPr>
  <dimension ref="B1:U83"/>
  <sheetViews>
    <sheetView showGridLines="0" topLeftCell="D52" zoomScale="76" zoomScaleNormal="76" workbookViewId="0">
      <selection activeCell="D14" sqref="D14"/>
    </sheetView>
  </sheetViews>
  <sheetFormatPr defaultColWidth="9.26953125" defaultRowHeight="10" x14ac:dyDescent="0.25"/>
  <cols>
    <col min="1" max="1" width="2.7265625" style="33" customWidth="1"/>
    <col min="2" max="2" width="56.7265625" style="33" customWidth="1"/>
    <col min="3" max="3" width="22.54296875" style="19" customWidth="1"/>
    <col min="4" max="4" width="35.54296875" style="19" customWidth="1"/>
    <col min="5" max="5" width="21.26953125" style="19" customWidth="1"/>
    <col min="6" max="6" width="15.7265625" style="19" customWidth="1"/>
    <col min="7" max="8" width="16.54296875" style="19" customWidth="1"/>
    <col min="9" max="9" width="20" style="19" customWidth="1"/>
    <col min="10" max="10" width="17.26953125" style="19" customWidth="1"/>
    <col min="11" max="11" width="19" style="19" customWidth="1"/>
    <col min="12" max="12" width="19.1796875" style="19" customWidth="1"/>
    <col min="13" max="13" width="23.7265625" style="19" customWidth="1"/>
    <col min="14" max="14" width="14.54296875" style="19" customWidth="1"/>
    <col min="15" max="15" width="24.1796875" style="19" customWidth="1"/>
    <col min="16" max="16" width="2.7265625" style="33" customWidth="1"/>
    <col min="17" max="17" width="26.81640625" style="33" customWidth="1"/>
    <col min="18" max="18" width="19.26953125" style="33" customWidth="1"/>
    <col min="19" max="19" width="27.7265625" style="33" customWidth="1"/>
    <col min="20" max="20" width="23.1796875" style="33" customWidth="1"/>
    <col min="21" max="21" width="27" style="33" customWidth="1"/>
    <col min="22" max="16384" width="9.26953125" style="33"/>
  </cols>
  <sheetData>
    <row r="1" spans="2:21" ht="10.5" x14ac:dyDescent="0.25">
      <c r="B1" s="34" t="s">
        <v>39</v>
      </c>
      <c r="C1" s="18"/>
      <c r="D1" s="18"/>
      <c r="E1" s="18"/>
      <c r="F1" s="18"/>
      <c r="G1" s="18"/>
    </row>
    <row r="2" spans="2:21" ht="11.5" x14ac:dyDescent="0.25">
      <c r="B2" s="82" t="s">
        <v>43</v>
      </c>
      <c r="C2" s="20"/>
      <c r="D2" s="20"/>
    </row>
    <row r="5" spans="2:21" ht="10.5" x14ac:dyDescent="0.25">
      <c r="B5" s="34" t="s">
        <v>40</v>
      </c>
    </row>
    <row r="7" spans="2:21" ht="42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21" s="41" customFormat="1" ht="12.5" x14ac:dyDescent="0.25">
      <c r="B8" s="36" t="s">
        <v>3</v>
      </c>
      <c r="C8" s="83">
        <f>SUM(C9:C11)</f>
        <v>8082747771.5599937</v>
      </c>
      <c r="D8" s="83">
        <f t="shared" ref="D8:N8" si="0">SUM(D9:D11)</f>
        <v>0</v>
      </c>
      <c r="E8" s="84">
        <f t="shared" si="0"/>
        <v>1942705830.9299994</v>
      </c>
      <c r="F8" s="83">
        <f t="shared" si="0"/>
        <v>0</v>
      </c>
      <c r="G8" s="83"/>
      <c r="H8" s="85">
        <f t="shared" si="0"/>
        <v>124860343.23000005</v>
      </c>
      <c r="I8" s="83">
        <f t="shared" si="0"/>
        <v>4308383461.1199989</v>
      </c>
      <c r="J8" s="83">
        <f t="shared" si="0"/>
        <v>19959319408.579861</v>
      </c>
      <c r="K8" s="83">
        <f>SUM(K9:K11)</f>
        <v>46038092824.120041</v>
      </c>
      <c r="L8" s="85">
        <f t="shared" si="0"/>
        <v>0</v>
      </c>
      <c r="M8" s="83">
        <f t="shared" si="0"/>
        <v>0</v>
      </c>
      <c r="N8" s="83">
        <f t="shared" si="0"/>
        <v>0</v>
      </c>
      <c r="O8" s="83">
        <f>SUM(C8:K8)</f>
        <v>80456109639.539886</v>
      </c>
      <c r="Q8" s="86"/>
      <c r="R8"/>
      <c r="S8"/>
      <c r="T8"/>
      <c r="U8"/>
    </row>
    <row r="9" spans="2:21" ht="12.5" x14ac:dyDescent="0.25">
      <c r="B9" s="37" t="s">
        <v>21</v>
      </c>
      <c r="C9" s="87">
        <v>7832112942.8899937</v>
      </c>
      <c r="D9" s="87"/>
      <c r="E9" s="88">
        <v>1629556735.8499994</v>
      </c>
      <c r="F9" s="89"/>
      <c r="G9" s="89"/>
      <c r="H9" s="88">
        <v>83407668.290000007</v>
      </c>
      <c r="I9" s="88">
        <v>3578631173.2399988</v>
      </c>
      <c r="J9" s="88">
        <v>17590731880.089859</v>
      </c>
      <c r="K9" s="88">
        <v>43790931844.100037</v>
      </c>
      <c r="L9" s="90"/>
      <c r="M9" s="90"/>
      <c r="N9" s="90"/>
      <c r="O9" s="91">
        <f>SUM(C9:K9)</f>
        <v>74505372244.459885</v>
      </c>
      <c r="Q9" s="86"/>
      <c r="R9" s="86"/>
      <c r="U9" s="86">
        <v>83407668.290000007</v>
      </c>
    </row>
    <row r="10" spans="2:21" ht="13" x14ac:dyDescent="0.3">
      <c r="B10" s="37" t="s">
        <v>23</v>
      </c>
      <c r="C10" s="87">
        <v>109289242.98</v>
      </c>
      <c r="D10" s="87"/>
      <c r="E10" s="88">
        <v>157915748.80000001</v>
      </c>
      <c r="F10" s="92"/>
      <c r="G10" s="92"/>
      <c r="H10" s="88">
        <v>136000.53</v>
      </c>
      <c r="I10" s="88">
        <v>181829207.32000002</v>
      </c>
      <c r="J10" s="88">
        <v>720887225.6500001</v>
      </c>
      <c r="K10" s="88">
        <v>1313055032.6599998</v>
      </c>
      <c r="L10" s="90"/>
      <c r="M10" s="90"/>
      <c r="N10" s="90"/>
      <c r="O10" s="91">
        <f>SUM(C10:K10)</f>
        <v>2483112457.9400001</v>
      </c>
      <c r="Q10" s="86"/>
      <c r="R10" s="86"/>
      <c r="U10" s="86">
        <v>136000.53</v>
      </c>
    </row>
    <row r="11" spans="2:21" ht="13" x14ac:dyDescent="0.3">
      <c r="B11" s="38" t="s">
        <v>22</v>
      </c>
      <c r="C11" s="93">
        <v>141345585.69000009</v>
      </c>
      <c r="D11" s="93"/>
      <c r="E11" s="88">
        <v>155233346.28</v>
      </c>
      <c r="F11" s="94"/>
      <c r="G11" s="94"/>
      <c r="H11" s="88">
        <v>41316674.410000034</v>
      </c>
      <c r="I11" s="88">
        <v>547923080.56000006</v>
      </c>
      <c r="J11" s="88">
        <v>1647700302.8400011</v>
      </c>
      <c r="K11" s="88">
        <v>934105947.36000025</v>
      </c>
      <c r="L11" s="90"/>
      <c r="M11" s="90"/>
      <c r="N11" s="90"/>
      <c r="O11" s="95">
        <f>SUM(C11:K11)</f>
        <v>3467624937.1400013</v>
      </c>
      <c r="Q11" s="86"/>
      <c r="R11" s="86"/>
      <c r="U11" s="86">
        <v>41316674.410000034</v>
      </c>
    </row>
    <row r="12" spans="2:21" s="41" customFormat="1" ht="13" x14ac:dyDescent="0.3">
      <c r="B12" s="36" t="s">
        <v>4</v>
      </c>
      <c r="C12" s="83">
        <f t="shared" ref="C12:N12" si="1">SUM(C13:C15)</f>
        <v>0</v>
      </c>
      <c r="D12" s="96">
        <f>SUM(D13:D15)</f>
        <v>1665913936.8699989</v>
      </c>
      <c r="E12" s="83">
        <f t="shared" si="1"/>
        <v>0</v>
      </c>
      <c r="F12" s="83">
        <f t="shared" si="1"/>
        <v>0</v>
      </c>
      <c r="G12" s="83">
        <f t="shared" si="1"/>
        <v>0</v>
      </c>
      <c r="H12" s="83">
        <f t="shared" si="1"/>
        <v>0</v>
      </c>
      <c r="I12" s="83">
        <f t="shared" si="1"/>
        <v>0</v>
      </c>
      <c r="J12" s="83">
        <f t="shared" si="1"/>
        <v>0</v>
      </c>
      <c r="K12" s="83">
        <f t="shared" si="1"/>
        <v>0</v>
      </c>
      <c r="L12" s="83">
        <f t="shared" si="1"/>
        <v>0</v>
      </c>
      <c r="M12" s="83">
        <f t="shared" si="1"/>
        <v>0</v>
      </c>
      <c r="N12" s="83">
        <f t="shared" si="1"/>
        <v>0</v>
      </c>
      <c r="O12" s="83">
        <f t="shared" ref="O12:O36" si="2">SUM(C12:N12)</f>
        <v>1665913936.8699989</v>
      </c>
    </row>
    <row r="13" spans="2:21" ht="12.5" x14ac:dyDescent="0.25">
      <c r="B13" s="37" t="s">
        <v>21</v>
      </c>
      <c r="C13" s="89"/>
      <c r="D13" s="88">
        <v>1647959080.4799991</v>
      </c>
      <c r="E13" s="89"/>
      <c r="F13" s="89"/>
      <c r="G13" s="89"/>
      <c r="H13" s="89"/>
      <c r="I13" s="89"/>
      <c r="J13" s="89"/>
      <c r="K13" s="90"/>
      <c r="L13" s="90"/>
      <c r="M13" s="90"/>
      <c r="N13" s="90"/>
      <c r="O13" s="91">
        <f>SUM(D13:N13)</f>
        <v>1647959080.4799991</v>
      </c>
    </row>
    <row r="14" spans="2:21" ht="12.5" x14ac:dyDescent="0.25">
      <c r="B14" s="37" t="s">
        <v>23</v>
      </c>
      <c r="C14" s="89"/>
      <c r="D14" s="88">
        <v>11233652.77</v>
      </c>
      <c r="E14" s="89"/>
      <c r="F14" s="89"/>
      <c r="G14" s="89"/>
      <c r="H14" s="89"/>
      <c r="I14" s="89"/>
      <c r="J14" s="89"/>
      <c r="K14" s="90"/>
      <c r="L14" s="90"/>
      <c r="M14" s="90"/>
      <c r="N14" s="90"/>
      <c r="O14" s="91">
        <f t="shared" si="2"/>
        <v>11233652.77</v>
      </c>
    </row>
    <row r="15" spans="2:21" ht="12.5" x14ac:dyDescent="0.25">
      <c r="B15" s="38" t="s">
        <v>22</v>
      </c>
      <c r="C15" s="89"/>
      <c r="D15" s="88">
        <v>6721203.6199999992</v>
      </c>
      <c r="E15" s="89"/>
      <c r="F15" s="89"/>
      <c r="G15" s="89"/>
      <c r="H15" s="89"/>
      <c r="I15" s="89"/>
      <c r="J15" s="89"/>
      <c r="K15" s="90"/>
      <c r="L15" s="90"/>
      <c r="M15" s="90"/>
      <c r="N15" s="90"/>
      <c r="O15" s="95">
        <f t="shared" si="2"/>
        <v>6721203.6199999992</v>
      </c>
    </row>
    <row r="16" spans="2:21" ht="10.5" x14ac:dyDescent="0.25">
      <c r="B16" s="36" t="s">
        <v>5</v>
      </c>
      <c r="C16" s="83">
        <f t="shared" ref="C16:N16" si="3">SUM(C17:C19)</f>
        <v>0</v>
      </c>
      <c r="D16" s="83">
        <f t="shared" si="3"/>
        <v>0</v>
      </c>
      <c r="E16" s="83">
        <f t="shared" si="3"/>
        <v>0</v>
      </c>
      <c r="F16" s="83">
        <f t="shared" si="3"/>
        <v>0</v>
      </c>
      <c r="G16" s="83">
        <f t="shared" si="3"/>
        <v>0</v>
      </c>
      <c r="H16" s="83">
        <f t="shared" si="3"/>
        <v>0</v>
      </c>
      <c r="I16" s="83">
        <f t="shared" si="3"/>
        <v>0</v>
      </c>
      <c r="J16" s="83">
        <f t="shared" si="3"/>
        <v>0</v>
      </c>
      <c r="K16" s="83">
        <f t="shared" si="3"/>
        <v>0</v>
      </c>
      <c r="L16" s="83">
        <f t="shared" si="3"/>
        <v>0</v>
      </c>
      <c r="M16" s="83">
        <f t="shared" si="3"/>
        <v>0</v>
      </c>
      <c r="N16" s="83">
        <f t="shared" si="3"/>
        <v>0</v>
      </c>
      <c r="O16" s="83">
        <f t="shared" si="2"/>
        <v>0</v>
      </c>
    </row>
    <row r="17" spans="2:15" x14ac:dyDescent="0.2">
      <c r="B17" s="37" t="s">
        <v>21</v>
      </c>
      <c r="C17" s="89"/>
      <c r="D17" s="89"/>
      <c r="E17" s="89"/>
      <c r="F17" s="89"/>
      <c r="G17" s="89"/>
      <c r="H17" s="89"/>
      <c r="I17" s="89"/>
      <c r="J17" s="89"/>
      <c r="K17" s="90"/>
      <c r="L17" s="90"/>
      <c r="M17" s="90"/>
      <c r="N17" s="90"/>
      <c r="O17" s="91">
        <f t="shared" si="2"/>
        <v>0</v>
      </c>
    </row>
    <row r="18" spans="2:15" x14ac:dyDescent="0.2">
      <c r="B18" s="37" t="s">
        <v>23</v>
      </c>
      <c r="C18" s="89"/>
      <c r="D18" s="89"/>
      <c r="E18" s="89"/>
      <c r="F18" s="89"/>
      <c r="G18" s="89"/>
      <c r="H18" s="89"/>
      <c r="I18" s="89"/>
      <c r="J18" s="89"/>
      <c r="K18" s="90"/>
      <c r="L18" s="90"/>
      <c r="M18" s="90"/>
      <c r="N18" s="90"/>
      <c r="O18" s="91">
        <f t="shared" si="2"/>
        <v>0</v>
      </c>
    </row>
    <row r="19" spans="2:15" x14ac:dyDescent="0.2">
      <c r="B19" s="38" t="s">
        <v>22</v>
      </c>
      <c r="C19" s="89"/>
      <c r="D19" s="89"/>
      <c r="E19" s="89"/>
      <c r="F19" s="89"/>
      <c r="G19" s="89"/>
      <c r="H19" s="89"/>
      <c r="I19" s="89"/>
      <c r="J19" s="89"/>
      <c r="K19" s="90"/>
      <c r="L19" s="90"/>
      <c r="M19" s="90"/>
      <c r="N19" s="90"/>
      <c r="O19" s="95">
        <f t="shared" si="2"/>
        <v>0</v>
      </c>
    </row>
    <row r="20" spans="2:15" ht="10.5" x14ac:dyDescent="0.25">
      <c r="B20" s="36" t="s">
        <v>6</v>
      </c>
      <c r="C20" s="83">
        <f t="shared" ref="C20:N20" si="4">SUM(C21:C23)</f>
        <v>0</v>
      </c>
      <c r="D20" s="83">
        <f t="shared" si="4"/>
        <v>0</v>
      </c>
      <c r="E20" s="83">
        <f t="shared" si="4"/>
        <v>0</v>
      </c>
      <c r="F20" s="83">
        <f t="shared" si="4"/>
        <v>0</v>
      </c>
      <c r="G20" s="83">
        <f t="shared" si="4"/>
        <v>0</v>
      </c>
      <c r="H20" s="83">
        <f t="shared" si="4"/>
        <v>0</v>
      </c>
      <c r="I20" s="83">
        <f t="shared" si="4"/>
        <v>0</v>
      </c>
      <c r="J20" s="83">
        <f t="shared" si="4"/>
        <v>0</v>
      </c>
      <c r="K20" s="83">
        <f t="shared" si="4"/>
        <v>0</v>
      </c>
      <c r="L20" s="83">
        <f t="shared" si="4"/>
        <v>0</v>
      </c>
      <c r="M20" s="83">
        <f t="shared" si="4"/>
        <v>0</v>
      </c>
      <c r="N20" s="83">
        <f t="shared" si="4"/>
        <v>0</v>
      </c>
      <c r="O20" s="83">
        <f t="shared" si="2"/>
        <v>0</v>
      </c>
    </row>
    <row r="21" spans="2:15" x14ac:dyDescent="0.2">
      <c r="B21" s="37" t="s">
        <v>21</v>
      </c>
      <c r="C21" s="89"/>
      <c r="D21" s="89"/>
      <c r="E21" s="89"/>
      <c r="F21" s="89"/>
      <c r="G21" s="89"/>
      <c r="H21" s="89"/>
      <c r="I21" s="89"/>
      <c r="J21" s="89"/>
      <c r="K21" s="90"/>
      <c r="L21" s="90"/>
      <c r="M21" s="90"/>
      <c r="N21" s="90"/>
      <c r="O21" s="91">
        <f t="shared" si="2"/>
        <v>0</v>
      </c>
    </row>
    <row r="22" spans="2:15" x14ac:dyDescent="0.2">
      <c r="B22" s="37" t="s">
        <v>23</v>
      </c>
      <c r="C22" s="89"/>
      <c r="D22" s="89"/>
      <c r="E22" s="89"/>
      <c r="F22" s="89"/>
      <c r="G22" s="89"/>
      <c r="H22" s="89"/>
      <c r="I22" s="89"/>
      <c r="J22" s="89"/>
      <c r="K22" s="90"/>
      <c r="L22" s="90"/>
      <c r="M22" s="90"/>
      <c r="N22" s="90"/>
      <c r="O22" s="91">
        <f t="shared" si="2"/>
        <v>0</v>
      </c>
    </row>
    <row r="23" spans="2:15" x14ac:dyDescent="0.2">
      <c r="B23" s="38" t="s">
        <v>22</v>
      </c>
      <c r="C23" s="89"/>
      <c r="D23" s="89"/>
      <c r="E23" s="89"/>
      <c r="F23" s="89"/>
      <c r="G23" s="89"/>
      <c r="H23" s="89"/>
      <c r="I23" s="89"/>
      <c r="J23" s="89"/>
      <c r="K23" s="90"/>
      <c r="L23" s="90"/>
      <c r="M23" s="90"/>
      <c r="N23" s="90"/>
      <c r="O23" s="95">
        <f t="shared" si="2"/>
        <v>0</v>
      </c>
    </row>
    <row r="24" spans="2:15" ht="10.5" x14ac:dyDescent="0.25">
      <c r="B24" s="36" t="s">
        <v>25</v>
      </c>
      <c r="C24" s="83">
        <f t="shared" ref="C24:N24" si="5">SUM(C25:C27)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83">
        <f t="shared" si="5"/>
        <v>0</v>
      </c>
      <c r="L24" s="83">
        <f t="shared" si="5"/>
        <v>0</v>
      </c>
      <c r="M24" s="83">
        <f t="shared" si="5"/>
        <v>0</v>
      </c>
      <c r="N24" s="83">
        <f t="shared" si="5"/>
        <v>0</v>
      </c>
      <c r="O24" s="83">
        <f t="shared" si="2"/>
        <v>0</v>
      </c>
    </row>
    <row r="25" spans="2:15" x14ac:dyDescent="0.2">
      <c r="B25" s="37" t="s">
        <v>21</v>
      </c>
      <c r="C25" s="89"/>
      <c r="D25" s="89"/>
      <c r="E25" s="89"/>
      <c r="F25" s="89"/>
      <c r="G25" s="89"/>
      <c r="H25" s="89"/>
      <c r="I25" s="89"/>
      <c r="J25" s="89"/>
      <c r="K25" s="90"/>
      <c r="L25" s="90"/>
      <c r="M25" s="90"/>
      <c r="N25" s="90"/>
      <c r="O25" s="91">
        <f t="shared" si="2"/>
        <v>0</v>
      </c>
    </row>
    <row r="26" spans="2:15" x14ac:dyDescent="0.2">
      <c r="B26" s="37" t="s">
        <v>23</v>
      </c>
      <c r="C26" s="89"/>
      <c r="D26" s="89"/>
      <c r="E26" s="89"/>
      <c r="F26" s="89"/>
      <c r="G26" s="89"/>
      <c r="H26" s="89"/>
      <c r="I26" s="89"/>
      <c r="J26" s="89"/>
      <c r="K26" s="90"/>
      <c r="L26" s="90"/>
      <c r="M26" s="90"/>
      <c r="N26" s="90"/>
      <c r="O26" s="91">
        <f t="shared" si="2"/>
        <v>0</v>
      </c>
    </row>
    <row r="27" spans="2:15" x14ac:dyDescent="0.2">
      <c r="B27" s="38" t="s">
        <v>22</v>
      </c>
      <c r="C27" s="89"/>
      <c r="D27" s="89"/>
      <c r="E27" s="89"/>
      <c r="F27" s="89"/>
      <c r="G27" s="89"/>
      <c r="H27" s="89"/>
      <c r="I27" s="89"/>
      <c r="J27" s="89"/>
      <c r="K27" s="90"/>
      <c r="L27" s="90"/>
      <c r="M27" s="90"/>
      <c r="N27" s="90"/>
      <c r="O27" s="95">
        <f t="shared" si="2"/>
        <v>0</v>
      </c>
    </row>
    <row r="28" spans="2:15" ht="10.5" x14ac:dyDescent="0.25">
      <c r="B28" s="36" t="s">
        <v>26</v>
      </c>
      <c r="C28" s="83">
        <f t="shared" ref="C28:N28" si="6">SUM(C29:C31)</f>
        <v>0</v>
      </c>
      <c r="D28" s="83">
        <f t="shared" si="6"/>
        <v>0</v>
      </c>
      <c r="E28" s="83">
        <f t="shared" si="6"/>
        <v>0</v>
      </c>
      <c r="F28" s="83">
        <f t="shared" si="6"/>
        <v>0</v>
      </c>
      <c r="G28" s="83">
        <f t="shared" si="6"/>
        <v>0</v>
      </c>
      <c r="H28" s="83">
        <f t="shared" si="6"/>
        <v>0</v>
      </c>
      <c r="I28" s="83">
        <f t="shared" si="6"/>
        <v>0</v>
      </c>
      <c r="J28" s="83">
        <f t="shared" si="6"/>
        <v>0</v>
      </c>
      <c r="K28" s="83">
        <f t="shared" si="6"/>
        <v>0</v>
      </c>
      <c r="L28" s="83">
        <f t="shared" si="6"/>
        <v>0</v>
      </c>
      <c r="M28" s="83">
        <f t="shared" si="6"/>
        <v>0</v>
      </c>
      <c r="N28" s="83">
        <f t="shared" si="6"/>
        <v>0</v>
      </c>
      <c r="O28" s="83">
        <f t="shared" si="2"/>
        <v>0</v>
      </c>
    </row>
    <row r="29" spans="2:15" x14ac:dyDescent="0.2">
      <c r="B29" s="37" t="s">
        <v>21</v>
      </c>
      <c r="C29" s="89"/>
      <c r="D29" s="89"/>
      <c r="E29" s="89"/>
      <c r="F29" s="89"/>
      <c r="G29" s="89"/>
      <c r="H29" s="89"/>
      <c r="I29" s="89"/>
      <c r="J29" s="89"/>
      <c r="K29" s="90"/>
      <c r="L29" s="90"/>
      <c r="M29" s="90"/>
      <c r="N29" s="90"/>
      <c r="O29" s="91">
        <f t="shared" si="2"/>
        <v>0</v>
      </c>
    </row>
    <row r="30" spans="2:15" x14ac:dyDescent="0.2">
      <c r="B30" s="37" t="s">
        <v>23</v>
      </c>
      <c r="C30" s="89"/>
      <c r="D30" s="89"/>
      <c r="E30" s="89"/>
      <c r="F30" s="89"/>
      <c r="G30" s="89"/>
      <c r="H30" s="89"/>
      <c r="I30" s="89"/>
      <c r="J30" s="89"/>
      <c r="K30" s="90"/>
      <c r="L30" s="90"/>
      <c r="M30" s="90"/>
      <c r="N30" s="90"/>
      <c r="O30" s="91">
        <f t="shared" si="2"/>
        <v>0</v>
      </c>
    </row>
    <row r="31" spans="2:15" x14ac:dyDescent="0.2">
      <c r="B31" s="38" t="s">
        <v>22</v>
      </c>
      <c r="C31" s="89"/>
      <c r="D31" s="89"/>
      <c r="E31" s="89"/>
      <c r="F31" s="89"/>
      <c r="G31" s="89"/>
      <c r="H31" s="89"/>
      <c r="I31" s="89"/>
      <c r="J31" s="89"/>
      <c r="K31" s="90"/>
      <c r="L31" s="90"/>
      <c r="M31" s="90"/>
      <c r="N31" s="90"/>
      <c r="O31" s="95">
        <f t="shared" si="2"/>
        <v>0</v>
      </c>
    </row>
    <row r="32" spans="2:15" ht="10.5" x14ac:dyDescent="0.25">
      <c r="B32" s="36" t="s">
        <v>7</v>
      </c>
      <c r="C32" s="83">
        <f t="shared" ref="C32:N32" si="7">SUM(C33:C35)</f>
        <v>0</v>
      </c>
      <c r="D32" s="83">
        <f t="shared" si="7"/>
        <v>0</v>
      </c>
      <c r="E32" s="83">
        <f t="shared" si="7"/>
        <v>0</v>
      </c>
      <c r="F32" s="83">
        <f t="shared" si="7"/>
        <v>0</v>
      </c>
      <c r="G32" s="83">
        <f t="shared" si="7"/>
        <v>0</v>
      </c>
      <c r="H32" s="83">
        <f t="shared" si="7"/>
        <v>0</v>
      </c>
      <c r="I32" s="83">
        <f t="shared" si="7"/>
        <v>0</v>
      </c>
      <c r="J32" s="83">
        <f t="shared" si="7"/>
        <v>0</v>
      </c>
      <c r="K32" s="83">
        <f t="shared" si="7"/>
        <v>0</v>
      </c>
      <c r="L32" s="83">
        <f t="shared" si="7"/>
        <v>0</v>
      </c>
      <c r="M32" s="83">
        <f t="shared" si="7"/>
        <v>0</v>
      </c>
      <c r="N32" s="83">
        <f t="shared" si="7"/>
        <v>0</v>
      </c>
      <c r="O32" s="83">
        <f t="shared" si="2"/>
        <v>0</v>
      </c>
    </row>
    <row r="33" spans="2:15" x14ac:dyDescent="0.2">
      <c r="B33" s="37" t="s">
        <v>21</v>
      </c>
      <c r="C33" s="89"/>
      <c r="D33" s="89"/>
      <c r="E33" s="89"/>
      <c r="F33" s="89"/>
      <c r="G33" s="89"/>
      <c r="H33" s="89"/>
      <c r="I33" s="89"/>
      <c r="J33" s="89"/>
      <c r="K33" s="90"/>
      <c r="L33" s="90"/>
      <c r="M33" s="90"/>
      <c r="N33" s="90"/>
      <c r="O33" s="91">
        <f t="shared" si="2"/>
        <v>0</v>
      </c>
    </row>
    <row r="34" spans="2:15" x14ac:dyDescent="0.2">
      <c r="B34" s="37" t="s">
        <v>23</v>
      </c>
      <c r="C34" s="89"/>
      <c r="D34" s="89"/>
      <c r="E34" s="89"/>
      <c r="F34" s="89"/>
      <c r="G34" s="89"/>
      <c r="H34" s="89"/>
      <c r="I34" s="89"/>
      <c r="J34" s="89"/>
      <c r="K34" s="90"/>
      <c r="L34" s="90"/>
      <c r="M34" s="90"/>
      <c r="N34" s="90"/>
      <c r="O34" s="91">
        <f t="shared" si="2"/>
        <v>0</v>
      </c>
    </row>
    <row r="35" spans="2:15" x14ac:dyDescent="0.2">
      <c r="B35" s="38" t="s">
        <v>22</v>
      </c>
      <c r="C35" s="89"/>
      <c r="D35" s="89"/>
      <c r="E35" s="89"/>
      <c r="F35" s="89"/>
      <c r="G35" s="89"/>
      <c r="H35" s="89"/>
      <c r="I35" s="89"/>
      <c r="J35" s="89"/>
      <c r="K35" s="90"/>
      <c r="L35" s="90"/>
      <c r="M35" s="90"/>
      <c r="N35" s="90"/>
      <c r="O35" s="95">
        <f t="shared" si="2"/>
        <v>0</v>
      </c>
    </row>
    <row r="36" spans="2:15" ht="11" thickBot="1" x14ac:dyDescent="0.3">
      <c r="B36" s="39" t="s">
        <v>2</v>
      </c>
      <c r="C36" s="97">
        <f>SUM(C32,C28,C24,C20,C16,C12,C8)</f>
        <v>8082747771.5599937</v>
      </c>
      <c r="D36" s="97">
        <f t="shared" ref="D36:N36" si="8">SUM(D32,D28,D24,D20,D16,D12,D8)</f>
        <v>1665913936.8699989</v>
      </c>
      <c r="E36" s="97">
        <f t="shared" si="8"/>
        <v>1942705830.9299994</v>
      </c>
      <c r="F36" s="97">
        <f t="shared" si="8"/>
        <v>0</v>
      </c>
      <c r="G36" s="97">
        <f t="shared" si="8"/>
        <v>0</v>
      </c>
      <c r="H36" s="97">
        <f t="shared" si="8"/>
        <v>124860343.23000005</v>
      </c>
      <c r="I36" s="97">
        <f t="shared" si="8"/>
        <v>4308383461.1199989</v>
      </c>
      <c r="J36" s="97">
        <f t="shared" si="8"/>
        <v>19959319408.579861</v>
      </c>
      <c r="K36" s="97">
        <f t="shared" si="8"/>
        <v>46038092824.120041</v>
      </c>
      <c r="L36" s="97">
        <f>SUM(L32,L28,L24,L20,L16,L12,L8)</f>
        <v>0</v>
      </c>
      <c r="M36" s="97">
        <f t="shared" si="8"/>
        <v>0</v>
      </c>
      <c r="N36" s="97">
        <f t="shared" si="8"/>
        <v>0</v>
      </c>
      <c r="O36" s="98">
        <f t="shared" si="2"/>
        <v>82122023576.409897</v>
      </c>
    </row>
    <row r="37" spans="2:15" ht="11" thickTop="1" x14ac:dyDescent="0.25">
      <c r="B37" s="40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</row>
    <row r="38" spans="2:15" ht="10.5" x14ac:dyDescent="0.25">
      <c r="B38" s="41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</row>
    <row r="39" spans="2:15" ht="10.5" x14ac:dyDescent="0.2">
      <c r="B39" s="34" t="s">
        <v>37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>
        <f>SUM(C39:N39)</f>
        <v>0</v>
      </c>
    </row>
    <row r="40" spans="2:15" x14ac:dyDescent="0.25"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</row>
    <row r="41" spans="2:15" ht="42" x14ac:dyDescent="0.25">
      <c r="B41" s="35" t="s">
        <v>0</v>
      </c>
      <c r="C41" s="102" t="s">
        <v>16</v>
      </c>
      <c r="D41" s="102" t="s">
        <v>17</v>
      </c>
      <c r="E41" s="102" t="s">
        <v>27</v>
      </c>
      <c r="F41" s="102" t="s">
        <v>28</v>
      </c>
      <c r="G41" s="102" t="s">
        <v>18</v>
      </c>
      <c r="H41" s="102" t="s">
        <v>19</v>
      </c>
      <c r="I41" s="102" t="s">
        <v>12</v>
      </c>
      <c r="J41" s="102" t="s">
        <v>13</v>
      </c>
      <c r="K41" s="102" t="s">
        <v>15</v>
      </c>
      <c r="L41" s="102" t="s">
        <v>14</v>
      </c>
      <c r="M41" s="102" t="s">
        <v>29</v>
      </c>
      <c r="N41" s="102" t="s">
        <v>1</v>
      </c>
      <c r="O41" s="103" t="s">
        <v>2</v>
      </c>
    </row>
    <row r="42" spans="2:15" ht="10.5" x14ac:dyDescent="0.25">
      <c r="B42" s="36" t="s">
        <v>36</v>
      </c>
      <c r="C42" s="83">
        <f t="shared" ref="C42:N42" si="9">SUM(C43:C45)</f>
        <v>0</v>
      </c>
      <c r="D42" s="83">
        <f t="shared" si="9"/>
        <v>0</v>
      </c>
      <c r="E42" s="83">
        <f t="shared" si="9"/>
        <v>0</v>
      </c>
      <c r="F42" s="83">
        <f t="shared" si="9"/>
        <v>0</v>
      </c>
      <c r="G42" s="83">
        <f t="shared" si="9"/>
        <v>0</v>
      </c>
      <c r="H42" s="83">
        <f t="shared" si="9"/>
        <v>0</v>
      </c>
      <c r="I42" s="83">
        <f t="shared" si="9"/>
        <v>0</v>
      </c>
      <c r="J42" s="83">
        <f t="shared" si="9"/>
        <v>0</v>
      </c>
      <c r="K42" s="83">
        <f t="shared" si="9"/>
        <v>0</v>
      </c>
      <c r="L42" s="83">
        <f t="shared" si="9"/>
        <v>0</v>
      </c>
      <c r="M42" s="83">
        <f t="shared" si="9"/>
        <v>0</v>
      </c>
      <c r="N42" s="83">
        <f t="shared" si="9"/>
        <v>0</v>
      </c>
      <c r="O42" s="83">
        <f>SUM(C42:N42)</f>
        <v>0</v>
      </c>
    </row>
    <row r="43" spans="2:15" x14ac:dyDescent="0.2">
      <c r="B43" s="37" t="s">
        <v>21</v>
      </c>
      <c r="C43" s="89"/>
      <c r="D43" s="89"/>
      <c r="E43" s="89"/>
      <c r="F43" s="89"/>
      <c r="G43" s="89"/>
      <c r="H43" s="89"/>
      <c r="I43" s="89"/>
      <c r="J43" s="89"/>
      <c r="K43" s="90"/>
      <c r="L43" s="90"/>
      <c r="M43" s="90"/>
      <c r="N43" s="90"/>
      <c r="O43" s="91">
        <f>SUM(C43:N43)</f>
        <v>0</v>
      </c>
    </row>
    <row r="44" spans="2:15" x14ac:dyDescent="0.2">
      <c r="B44" s="37" t="s">
        <v>23</v>
      </c>
      <c r="C44" s="89"/>
      <c r="D44" s="89"/>
      <c r="E44" s="89"/>
      <c r="F44" s="89"/>
      <c r="G44" s="89"/>
      <c r="H44" s="89"/>
      <c r="I44" s="89"/>
      <c r="J44" s="89"/>
      <c r="K44" s="90"/>
      <c r="L44" s="90"/>
      <c r="M44" s="90"/>
      <c r="N44" s="90"/>
      <c r="O44" s="91">
        <f>SUM(C44:N44)</f>
        <v>0</v>
      </c>
    </row>
    <row r="45" spans="2:15" x14ac:dyDescent="0.2">
      <c r="B45" s="38" t="s">
        <v>22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  <c r="N45" s="105"/>
      <c r="O45" s="95">
        <f>SUM(C45:N45)</f>
        <v>0</v>
      </c>
    </row>
    <row r="46" spans="2:15" x14ac:dyDescent="0.25"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</row>
    <row r="47" spans="2:15" x14ac:dyDescent="0.25"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</row>
    <row r="48" spans="2:15" ht="10.5" x14ac:dyDescent="0.2">
      <c r="B48" s="34" t="s">
        <v>8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>
        <f>SUM(C48:N48)</f>
        <v>0</v>
      </c>
    </row>
    <row r="49" spans="2:15" ht="10.5" x14ac:dyDescent="0.25">
      <c r="B49" s="41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6"/>
    </row>
    <row r="50" spans="2:15" ht="42" x14ac:dyDescent="0.25">
      <c r="B50" s="35" t="s">
        <v>30</v>
      </c>
      <c r="C50" s="102" t="s">
        <v>16</v>
      </c>
      <c r="D50" s="102" t="s">
        <v>17</v>
      </c>
      <c r="E50" s="102" t="s">
        <v>27</v>
      </c>
      <c r="F50" s="102" t="s">
        <v>28</v>
      </c>
      <c r="G50" s="102" t="s">
        <v>18</v>
      </c>
      <c r="H50" s="102" t="s">
        <v>19</v>
      </c>
      <c r="I50" s="102" t="s">
        <v>12</v>
      </c>
      <c r="J50" s="102" t="s">
        <v>13</v>
      </c>
      <c r="K50" s="102" t="s">
        <v>15</v>
      </c>
      <c r="L50" s="102" t="s">
        <v>14</v>
      </c>
      <c r="M50" s="102" t="s">
        <v>29</v>
      </c>
      <c r="N50" s="102" t="s">
        <v>1</v>
      </c>
      <c r="O50" s="103" t="s">
        <v>2</v>
      </c>
    </row>
    <row r="51" spans="2:15" ht="10.5" x14ac:dyDescent="0.25">
      <c r="B51" s="36" t="s">
        <v>31</v>
      </c>
      <c r="C51" s="107">
        <f t="shared" ref="C51:N51" si="10">SUM(C52:C54)</f>
        <v>6903</v>
      </c>
      <c r="D51" s="107">
        <f t="shared" si="10"/>
        <v>388</v>
      </c>
      <c r="E51" s="107">
        <f t="shared" si="10"/>
        <v>605</v>
      </c>
      <c r="F51" s="107">
        <f t="shared" si="10"/>
        <v>0</v>
      </c>
      <c r="G51" s="107">
        <f t="shared" si="10"/>
        <v>0</v>
      </c>
      <c r="H51" s="108">
        <f t="shared" si="10"/>
        <v>3017</v>
      </c>
      <c r="I51" s="107">
        <f t="shared" si="10"/>
        <v>8579</v>
      </c>
      <c r="J51" s="107">
        <f t="shared" si="10"/>
        <v>21375</v>
      </c>
      <c r="K51" s="107">
        <f t="shared" si="10"/>
        <v>14360</v>
      </c>
      <c r="L51" s="107">
        <f t="shared" si="10"/>
        <v>0</v>
      </c>
      <c r="M51" s="107">
        <f t="shared" si="10"/>
        <v>0</v>
      </c>
      <c r="N51" s="107">
        <f t="shared" si="10"/>
        <v>0</v>
      </c>
      <c r="O51" s="83">
        <f>SUM(C51:N51)</f>
        <v>55227</v>
      </c>
    </row>
    <row r="52" spans="2:15" ht="12.5" x14ac:dyDescent="0.25">
      <c r="B52" s="37" t="s">
        <v>21</v>
      </c>
      <c r="C52" s="87">
        <v>6490</v>
      </c>
      <c r="D52" s="87">
        <v>378</v>
      </c>
      <c r="E52" s="87">
        <v>500</v>
      </c>
      <c r="F52" s="89"/>
      <c r="G52" s="89"/>
      <c r="H52" s="88">
        <v>760</v>
      </c>
      <c r="I52" s="88">
        <v>6062</v>
      </c>
      <c r="J52" s="88">
        <v>19373</v>
      </c>
      <c r="K52" s="88">
        <v>13411</v>
      </c>
      <c r="L52" s="90"/>
      <c r="M52" s="90"/>
      <c r="N52" s="90"/>
      <c r="O52" s="91">
        <f>SUM(C52:N52)</f>
        <v>46974</v>
      </c>
    </row>
    <row r="53" spans="2:15" ht="12.5" x14ac:dyDescent="0.25">
      <c r="B53" s="37" t="s">
        <v>23</v>
      </c>
      <c r="C53" s="87">
        <v>47</v>
      </c>
      <c r="D53" s="87">
        <v>5</v>
      </c>
      <c r="E53" s="87">
        <v>36</v>
      </c>
      <c r="F53" s="89"/>
      <c r="G53" s="89"/>
      <c r="H53" s="88">
        <v>4</v>
      </c>
      <c r="I53" s="88">
        <v>310</v>
      </c>
      <c r="J53" s="88">
        <v>374</v>
      </c>
      <c r="K53" s="88">
        <v>370</v>
      </c>
      <c r="L53" s="90"/>
      <c r="M53" s="90"/>
      <c r="N53" s="90"/>
      <c r="O53" s="91">
        <f>SUM(C53:N53)</f>
        <v>1146</v>
      </c>
    </row>
    <row r="54" spans="2:15" ht="12.5" x14ac:dyDescent="0.25">
      <c r="B54" s="38" t="s">
        <v>22</v>
      </c>
      <c r="C54" s="93">
        <v>366</v>
      </c>
      <c r="D54" s="93">
        <v>5</v>
      </c>
      <c r="E54" s="93">
        <v>69</v>
      </c>
      <c r="F54" s="104"/>
      <c r="G54" s="104"/>
      <c r="H54" s="109">
        <v>2253</v>
      </c>
      <c r="I54" s="109">
        <v>2207</v>
      </c>
      <c r="J54" s="109">
        <v>1628</v>
      </c>
      <c r="K54" s="109">
        <v>579</v>
      </c>
      <c r="L54" s="105"/>
      <c r="M54" s="105"/>
      <c r="N54" s="105"/>
      <c r="O54" s="95">
        <f>SUM(C54:N54)</f>
        <v>7107</v>
      </c>
    </row>
    <row r="55" spans="2:15" ht="10.5" x14ac:dyDescent="0.25">
      <c r="B55" s="41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6"/>
    </row>
    <row r="56" spans="2:15" ht="10.5" x14ac:dyDescent="0.25">
      <c r="B56" s="41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6"/>
    </row>
    <row r="57" spans="2:15" ht="10.5" x14ac:dyDescent="0.25">
      <c r="B57" s="34" t="s">
        <v>44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00"/>
    </row>
    <row r="58" spans="2:15" ht="10.5" x14ac:dyDescent="0.25">
      <c r="B58" s="42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2"/>
    </row>
    <row r="59" spans="2:15" ht="42" x14ac:dyDescent="0.25">
      <c r="B59" s="35" t="s">
        <v>9</v>
      </c>
      <c r="C59" s="102" t="s">
        <v>16</v>
      </c>
      <c r="D59" s="102" t="s">
        <v>17</v>
      </c>
      <c r="E59" s="102" t="s">
        <v>27</v>
      </c>
      <c r="F59" s="102" t="s">
        <v>28</v>
      </c>
      <c r="G59" s="102" t="s">
        <v>18</v>
      </c>
      <c r="H59" s="102" t="s">
        <v>19</v>
      </c>
      <c r="I59" s="102" t="s">
        <v>12</v>
      </c>
      <c r="J59" s="102" t="s">
        <v>13</v>
      </c>
      <c r="K59" s="102" t="s">
        <v>15</v>
      </c>
      <c r="L59" s="102" t="s">
        <v>14</v>
      </c>
      <c r="M59" s="102" t="s">
        <v>29</v>
      </c>
      <c r="N59" s="102" t="s">
        <v>1</v>
      </c>
      <c r="O59" s="103" t="s">
        <v>2</v>
      </c>
    </row>
    <row r="60" spans="2:15" ht="10.5" x14ac:dyDescent="0.25">
      <c r="B60" s="36"/>
      <c r="C60" s="113"/>
      <c r="D60" s="113"/>
      <c r="E60" s="114"/>
      <c r="F60" s="114"/>
      <c r="G60" s="113"/>
      <c r="H60" s="113"/>
      <c r="I60" s="113"/>
      <c r="J60" s="114"/>
      <c r="K60" s="113"/>
      <c r="L60" s="113"/>
      <c r="M60" s="113"/>
      <c r="N60" s="113"/>
      <c r="O60" s="115"/>
    </row>
    <row r="61" spans="2:15" ht="10.5" x14ac:dyDescent="0.25">
      <c r="B61" s="43" t="s">
        <v>33</v>
      </c>
      <c r="C61" s="116">
        <f>SUM(C62,C66)</f>
        <v>174742650.65000018</v>
      </c>
      <c r="D61" s="117">
        <f t="shared" ref="D61:N61" si="11">SUM(D62,D66)</f>
        <v>7135884.1132150814</v>
      </c>
      <c r="E61" s="117">
        <f t="shared" si="11"/>
        <v>5519165.0699999994</v>
      </c>
      <c r="F61" s="116">
        <f t="shared" si="11"/>
        <v>0</v>
      </c>
      <c r="G61" s="116">
        <f t="shared" si="11"/>
        <v>0</v>
      </c>
      <c r="H61" s="116">
        <f t="shared" si="11"/>
        <v>8883308.0399999898</v>
      </c>
      <c r="I61" s="116">
        <f t="shared" si="11"/>
        <v>114273073.43999995</v>
      </c>
      <c r="J61" s="116">
        <f t="shared" si="11"/>
        <v>522607961.11000037</v>
      </c>
      <c r="K61" s="116">
        <f t="shared" si="11"/>
        <v>1276611935.3699982</v>
      </c>
      <c r="L61" s="116">
        <f t="shared" si="11"/>
        <v>0</v>
      </c>
      <c r="M61" s="116">
        <f t="shared" si="11"/>
        <v>0</v>
      </c>
      <c r="N61" s="116">
        <f t="shared" si="11"/>
        <v>0</v>
      </c>
      <c r="O61" s="117">
        <f t="shared" ref="O61:O66" si="12">SUM(C61:N61)</f>
        <v>2109773977.7932138</v>
      </c>
    </row>
    <row r="62" spans="2:15" ht="10.5" x14ac:dyDescent="0.25">
      <c r="B62" s="36" t="s">
        <v>34</v>
      </c>
      <c r="C62" s="83">
        <f t="shared" ref="C62:N62" si="13">SUM(C63:C65)</f>
        <v>165882163.39000016</v>
      </c>
      <c r="D62" s="85">
        <f t="shared" si="13"/>
        <v>7135884.1132150814</v>
      </c>
      <c r="E62" s="85">
        <f t="shared" si="13"/>
        <v>4524697.1999999993</v>
      </c>
      <c r="F62" s="83">
        <f t="shared" si="13"/>
        <v>0</v>
      </c>
      <c r="G62" s="83">
        <f t="shared" si="13"/>
        <v>0</v>
      </c>
      <c r="H62" s="83">
        <f>SUM(H63:H65)</f>
        <v>3080273.5499999956</v>
      </c>
      <c r="I62" s="83">
        <f t="shared" si="13"/>
        <v>85679162.699999988</v>
      </c>
      <c r="J62" s="83">
        <f t="shared" si="13"/>
        <v>522607961.11000037</v>
      </c>
      <c r="K62" s="83">
        <f t="shared" si="13"/>
        <v>1276611935.3699982</v>
      </c>
      <c r="L62" s="83">
        <f t="shared" si="13"/>
        <v>0</v>
      </c>
      <c r="M62" s="83">
        <f t="shared" si="13"/>
        <v>0</v>
      </c>
      <c r="N62" s="83">
        <f t="shared" si="13"/>
        <v>0</v>
      </c>
      <c r="O62" s="85">
        <f>SUM(C62:K62)</f>
        <v>2065522077.4332137</v>
      </c>
    </row>
    <row r="63" spans="2:15" ht="12.5" x14ac:dyDescent="0.25">
      <c r="B63" s="37" t="s">
        <v>21</v>
      </c>
      <c r="C63" s="88">
        <v>165470336.55000016</v>
      </c>
      <c r="D63" s="88">
        <v>7135884.1132150814</v>
      </c>
      <c r="E63" s="88">
        <v>4524697.1999999993</v>
      </c>
      <c r="F63" s="89"/>
      <c r="G63" s="89"/>
      <c r="H63" s="88">
        <v>2810821.7600000002</v>
      </c>
      <c r="I63" s="88">
        <v>85430077.409999996</v>
      </c>
      <c r="J63" s="88">
        <v>493961734.20000035</v>
      </c>
      <c r="K63" s="88">
        <v>1236457991.3599982</v>
      </c>
      <c r="L63" s="89"/>
      <c r="M63" s="89"/>
      <c r="N63" s="89"/>
      <c r="O63" s="118">
        <f t="shared" si="12"/>
        <v>1995791542.5932138</v>
      </c>
    </row>
    <row r="64" spans="2:15" ht="14.5" x14ac:dyDescent="0.35">
      <c r="B64" s="37" t="s">
        <v>23</v>
      </c>
      <c r="C64" s="88">
        <v>174797.18999999997</v>
      </c>
      <c r="D64" s="88"/>
      <c r="E64" s="88"/>
      <c r="F64" s="119"/>
      <c r="G64" s="120"/>
      <c r="H64" s="88"/>
      <c r="I64" s="88">
        <v>37024.69</v>
      </c>
      <c r="J64" s="88">
        <v>11411914.129999999</v>
      </c>
      <c r="K64" s="88">
        <v>40153848.449999996</v>
      </c>
      <c r="L64" s="89"/>
      <c r="M64" s="89"/>
      <c r="N64" s="89"/>
      <c r="O64" s="118">
        <f t="shared" si="12"/>
        <v>51777584.459999993</v>
      </c>
    </row>
    <row r="65" spans="2:15" ht="14.5" x14ac:dyDescent="0.35">
      <c r="B65" s="38" t="s">
        <v>22</v>
      </c>
      <c r="C65" s="88">
        <v>237029.65000000165</v>
      </c>
      <c r="D65" s="88"/>
      <c r="E65" s="88"/>
      <c r="F65" s="119"/>
      <c r="G65" s="120"/>
      <c r="H65" s="88">
        <v>269451.78999999532</v>
      </c>
      <c r="I65" s="88">
        <v>212060.6</v>
      </c>
      <c r="J65" s="88">
        <v>17234312.780000005</v>
      </c>
      <c r="K65" s="88">
        <v>95.56</v>
      </c>
      <c r="L65" s="104"/>
      <c r="M65" s="104"/>
      <c r="N65" s="104"/>
      <c r="O65" s="121">
        <f t="shared" si="12"/>
        <v>17952950.379999999</v>
      </c>
    </row>
    <row r="66" spans="2:15" ht="10.5" x14ac:dyDescent="0.25">
      <c r="B66" s="36" t="s">
        <v>35</v>
      </c>
      <c r="C66" s="122">
        <f t="shared" ref="C66:N66" si="14">SUM(C67:C69)</f>
        <v>8860487.2600000091</v>
      </c>
      <c r="D66" s="123">
        <f t="shared" si="14"/>
        <v>0</v>
      </c>
      <c r="E66" s="123">
        <f t="shared" si="14"/>
        <v>994467.87</v>
      </c>
      <c r="F66" s="122">
        <f t="shared" si="14"/>
        <v>0</v>
      </c>
      <c r="G66" s="122">
        <f t="shared" si="14"/>
        <v>0</v>
      </c>
      <c r="H66" s="122">
        <f>SUM(H67:H69)</f>
        <v>5803034.4899999946</v>
      </c>
      <c r="I66" s="122">
        <f t="shared" si="14"/>
        <v>28593910.739999965</v>
      </c>
      <c r="J66" s="122">
        <f t="shared" si="14"/>
        <v>0</v>
      </c>
      <c r="K66" s="122">
        <f t="shared" si="14"/>
        <v>0</v>
      </c>
      <c r="L66" s="122">
        <f t="shared" si="14"/>
        <v>0</v>
      </c>
      <c r="M66" s="122">
        <f t="shared" si="14"/>
        <v>0</v>
      </c>
      <c r="N66" s="122">
        <f t="shared" si="14"/>
        <v>0</v>
      </c>
      <c r="O66" s="123">
        <f t="shared" si="12"/>
        <v>44251900.35999997</v>
      </c>
    </row>
    <row r="67" spans="2:15" ht="12.5" x14ac:dyDescent="0.25">
      <c r="B67" s="37" t="s">
        <v>21</v>
      </c>
      <c r="C67" s="89">
        <v>7968578.3000000082</v>
      </c>
      <c r="D67" s="90"/>
      <c r="E67" s="88">
        <v>938195.99</v>
      </c>
      <c r="F67" s="89"/>
      <c r="G67" s="89"/>
      <c r="H67" s="88">
        <v>1138818.22</v>
      </c>
      <c r="I67" s="88">
        <v>23506359.049999967</v>
      </c>
      <c r="J67" s="89"/>
      <c r="K67" s="89"/>
      <c r="L67" s="89"/>
      <c r="M67" s="89"/>
      <c r="N67" s="89"/>
      <c r="O67" s="118">
        <f>SUM(C67:N67)</f>
        <v>33551951.559999976</v>
      </c>
    </row>
    <row r="68" spans="2:15" ht="14.5" x14ac:dyDescent="0.35">
      <c r="B68" s="37" t="s">
        <v>23</v>
      </c>
      <c r="C68" s="124">
        <v>9000</v>
      </c>
      <c r="D68" s="125"/>
      <c r="E68" s="88">
        <v>1456.8600000000001</v>
      </c>
      <c r="F68" s="119"/>
      <c r="G68" s="120"/>
      <c r="H68" s="88">
        <v>1650</v>
      </c>
      <c r="I68" s="88">
        <v>2018993.9000000004</v>
      </c>
      <c r="J68" s="124"/>
      <c r="K68" s="124"/>
      <c r="L68" s="89"/>
      <c r="M68" s="89"/>
      <c r="N68" s="89"/>
      <c r="O68" s="118">
        <f>SUM(C68:N68)</f>
        <v>2031100.7600000005</v>
      </c>
    </row>
    <row r="69" spans="2:15" ht="14.5" x14ac:dyDescent="0.35">
      <c r="B69" s="38" t="s">
        <v>22</v>
      </c>
      <c r="C69" s="124">
        <v>882908.96</v>
      </c>
      <c r="D69" s="126"/>
      <c r="E69" s="88">
        <v>54815.01999999999</v>
      </c>
      <c r="F69" s="119"/>
      <c r="G69" s="120"/>
      <c r="H69" s="88">
        <v>4662566.2699999949</v>
      </c>
      <c r="I69" s="88">
        <v>3068557.790000001</v>
      </c>
      <c r="J69" s="124"/>
      <c r="K69" s="124"/>
      <c r="L69" s="104"/>
      <c r="M69" s="104"/>
      <c r="N69" s="104"/>
      <c r="O69" s="121">
        <f>SUM(C69:N69)</f>
        <v>8668848.0399999954</v>
      </c>
    </row>
    <row r="70" spans="2:15" x14ac:dyDescent="0.25">
      <c r="B70" s="44"/>
      <c r="C70" s="127"/>
      <c r="D70" s="128"/>
      <c r="E70" s="128"/>
      <c r="F70" s="127"/>
      <c r="G70" s="127"/>
      <c r="H70" s="127"/>
      <c r="I70" s="127"/>
      <c r="J70" s="127"/>
      <c r="K70" s="127"/>
      <c r="L70" s="127"/>
      <c r="M70" s="127"/>
      <c r="N70" s="127"/>
      <c r="O70" s="128"/>
    </row>
    <row r="71" spans="2:15" ht="10.5" x14ac:dyDescent="0.25">
      <c r="B71" s="43" t="s">
        <v>11</v>
      </c>
      <c r="C71" s="116">
        <f>SUM(C72,C76)</f>
        <v>218962525.56000003</v>
      </c>
      <c r="D71" s="117">
        <f t="shared" ref="D71:N71" si="15">SUM(D72,D76)</f>
        <v>11471125.869826052</v>
      </c>
      <c r="E71" s="117">
        <f t="shared" si="15"/>
        <v>60646764.560000002</v>
      </c>
      <c r="F71" s="116">
        <f t="shared" si="15"/>
        <v>0</v>
      </c>
      <c r="G71" s="116">
        <f t="shared" si="15"/>
        <v>0</v>
      </c>
      <c r="H71" s="116">
        <f t="shared" si="15"/>
        <v>4453554.9699999923</v>
      </c>
      <c r="I71" s="116">
        <f t="shared" si="15"/>
        <v>221780411.59</v>
      </c>
      <c r="J71" s="116">
        <f t="shared" si="15"/>
        <v>662874180.03000128</v>
      </c>
      <c r="K71" s="116">
        <f t="shared" si="15"/>
        <v>1153394938.1300013</v>
      </c>
      <c r="L71" s="116">
        <f t="shared" si="15"/>
        <v>0</v>
      </c>
      <c r="M71" s="116">
        <f t="shared" si="15"/>
        <v>0</v>
      </c>
      <c r="N71" s="116">
        <f t="shared" si="15"/>
        <v>0</v>
      </c>
      <c r="O71" s="117">
        <f t="shared" ref="O71:O80" si="16">SUM(C71:N71)</f>
        <v>2333583500.7098284</v>
      </c>
    </row>
    <row r="72" spans="2:15" ht="10.5" x14ac:dyDescent="0.25">
      <c r="B72" s="36" t="s">
        <v>24</v>
      </c>
      <c r="C72" s="83">
        <f>SUM(C73:C75)</f>
        <v>155987249.83000001</v>
      </c>
      <c r="D72" s="85">
        <f t="shared" ref="D72:N72" si="17">SUM(D73:D75)</f>
        <v>11471125.869826052</v>
      </c>
      <c r="E72" s="85">
        <f t="shared" si="17"/>
        <v>54761513.710000001</v>
      </c>
      <c r="F72" s="83">
        <f t="shared" si="17"/>
        <v>0</v>
      </c>
      <c r="G72" s="83">
        <f t="shared" si="17"/>
        <v>0</v>
      </c>
      <c r="H72" s="83">
        <f>SUM(H73:H75)</f>
        <v>4453554.9699999923</v>
      </c>
      <c r="I72" s="83">
        <f t="shared" si="17"/>
        <v>221780411.59</v>
      </c>
      <c r="J72" s="83">
        <f t="shared" si="17"/>
        <v>662874180.03000128</v>
      </c>
      <c r="K72" s="83">
        <f>SUM(K73:K75)</f>
        <v>414085176.93000007</v>
      </c>
      <c r="L72" s="83">
        <f t="shared" si="17"/>
        <v>0</v>
      </c>
      <c r="M72" s="83">
        <f t="shared" si="17"/>
        <v>0</v>
      </c>
      <c r="N72" s="83">
        <f t="shared" si="17"/>
        <v>0</v>
      </c>
      <c r="O72" s="85">
        <f t="shared" si="16"/>
        <v>1525413212.9298275</v>
      </c>
    </row>
    <row r="73" spans="2:15" ht="12.5" x14ac:dyDescent="0.25">
      <c r="B73" s="37" t="s">
        <v>21</v>
      </c>
      <c r="C73" s="129">
        <v>151202413.09000003</v>
      </c>
      <c r="D73" s="129">
        <v>11444602.328336932</v>
      </c>
      <c r="E73" s="129">
        <v>35428301.649999999</v>
      </c>
      <c r="F73" s="89"/>
      <c r="G73" s="89"/>
      <c r="H73" s="129">
        <v>851603.83000000019</v>
      </c>
      <c r="I73" s="129">
        <v>193327131.90000001</v>
      </c>
      <c r="J73" s="129">
        <v>570733674.75000131</v>
      </c>
      <c r="K73" s="129">
        <v>391622436.79000008</v>
      </c>
      <c r="L73" s="89"/>
      <c r="M73" s="89"/>
      <c r="N73" s="89"/>
      <c r="O73" s="118">
        <f t="shared" si="16"/>
        <v>1354610164.3383384</v>
      </c>
    </row>
    <row r="74" spans="2:15" ht="12.5" x14ac:dyDescent="0.25">
      <c r="B74" s="37" t="s">
        <v>23</v>
      </c>
      <c r="C74" s="129">
        <v>1004147.9799999999</v>
      </c>
      <c r="D74" s="129"/>
      <c r="E74" s="129">
        <v>3301790.96</v>
      </c>
      <c r="F74" s="120"/>
      <c r="G74" s="124"/>
      <c r="H74" s="129"/>
      <c r="I74" s="129">
        <v>9254024.9300000016</v>
      </c>
      <c r="J74" s="129">
        <v>21838591.279999997</v>
      </c>
      <c r="K74" s="129">
        <v>5508443.5300000003</v>
      </c>
      <c r="L74" s="89"/>
      <c r="M74" s="89"/>
      <c r="N74" s="89"/>
      <c r="O74" s="118">
        <f t="shared" si="16"/>
        <v>40906998.68</v>
      </c>
    </row>
    <row r="75" spans="2:15" ht="12.5" x14ac:dyDescent="0.25">
      <c r="B75" s="38" t="s">
        <v>22</v>
      </c>
      <c r="C75" s="129">
        <v>3780688.7600000016</v>
      </c>
      <c r="D75" s="129">
        <v>26523.541489119998</v>
      </c>
      <c r="E75" s="129">
        <v>16031421.1</v>
      </c>
      <c r="F75" s="120"/>
      <c r="G75" s="124"/>
      <c r="H75" s="129">
        <v>3601951.1399999922</v>
      </c>
      <c r="I75" s="129">
        <v>19199254.759999998</v>
      </c>
      <c r="J75" s="129">
        <v>70301914</v>
      </c>
      <c r="K75" s="129">
        <v>16954296.609999999</v>
      </c>
      <c r="L75" s="89"/>
      <c r="M75" s="89"/>
      <c r="N75" s="89"/>
      <c r="O75" s="121">
        <f t="shared" si="16"/>
        <v>129896049.91148911</v>
      </c>
    </row>
    <row r="76" spans="2:15" ht="10.5" x14ac:dyDescent="0.25">
      <c r="B76" s="36" t="s">
        <v>10</v>
      </c>
      <c r="C76" s="83">
        <f>SUM(C77:C79)</f>
        <v>62975275.730000027</v>
      </c>
      <c r="D76" s="85">
        <f t="shared" ref="D76:N76" si="18">SUM(D77:D79)</f>
        <v>0</v>
      </c>
      <c r="E76" s="85">
        <f t="shared" si="18"/>
        <v>5885250.8500000043</v>
      </c>
      <c r="F76" s="83">
        <f t="shared" si="18"/>
        <v>0</v>
      </c>
      <c r="G76" s="83">
        <f t="shared" si="18"/>
        <v>0</v>
      </c>
      <c r="H76" s="83">
        <f t="shared" si="18"/>
        <v>0</v>
      </c>
      <c r="I76" s="83">
        <f t="shared" si="18"/>
        <v>0</v>
      </c>
      <c r="J76" s="83">
        <f t="shared" si="18"/>
        <v>0</v>
      </c>
      <c r="K76" s="83">
        <f t="shared" si="18"/>
        <v>739309761.20000124</v>
      </c>
      <c r="L76" s="83">
        <f t="shared" si="18"/>
        <v>0</v>
      </c>
      <c r="M76" s="83">
        <f t="shared" si="18"/>
        <v>0</v>
      </c>
      <c r="N76" s="83">
        <f t="shared" si="18"/>
        <v>0</v>
      </c>
      <c r="O76" s="85">
        <f t="shared" si="16"/>
        <v>808170287.78000128</v>
      </c>
    </row>
    <row r="77" spans="2:15" ht="12.5" x14ac:dyDescent="0.25">
      <c r="B77" s="37" t="s">
        <v>21</v>
      </c>
      <c r="C77" s="129">
        <v>62520975.740000024</v>
      </c>
      <c r="D77" s="90"/>
      <c r="E77" s="129">
        <v>4972250.8500000043</v>
      </c>
      <c r="F77" s="89"/>
      <c r="G77" s="89"/>
      <c r="H77" s="89"/>
      <c r="I77" s="89"/>
      <c r="J77" s="89"/>
      <c r="K77" s="129">
        <v>702447929.63000131</v>
      </c>
      <c r="L77" s="89"/>
      <c r="M77" s="89"/>
      <c r="N77" s="89"/>
      <c r="O77" s="118">
        <f t="shared" si="16"/>
        <v>769941156.22000134</v>
      </c>
    </row>
    <row r="78" spans="2:15" ht="14.5" x14ac:dyDescent="0.35">
      <c r="B78" s="37" t="s">
        <v>23</v>
      </c>
      <c r="C78" s="129">
        <v>217500.00000000003</v>
      </c>
      <c r="D78" s="125"/>
      <c r="E78" s="129">
        <v>910000</v>
      </c>
      <c r="F78" s="124"/>
      <c r="G78" s="124"/>
      <c r="H78" s="124"/>
      <c r="I78" s="124"/>
      <c r="J78" s="124"/>
      <c r="K78" s="129">
        <v>19814099.009999976</v>
      </c>
      <c r="L78" s="119"/>
      <c r="M78" s="119"/>
      <c r="N78" s="119"/>
      <c r="O78" s="130">
        <f>SUM(C78:K78)</f>
        <v>20941599.009999976</v>
      </c>
    </row>
    <row r="79" spans="2:15" ht="14.5" x14ac:dyDescent="0.35">
      <c r="B79" s="38" t="s">
        <v>22</v>
      </c>
      <c r="C79" s="129">
        <v>236799.98999999996</v>
      </c>
      <c r="D79" s="126"/>
      <c r="E79" s="129">
        <v>3000</v>
      </c>
      <c r="F79" s="124"/>
      <c r="G79" s="124"/>
      <c r="H79" s="131"/>
      <c r="I79" s="131"/>
      <c r="J79" s="131"/>
      <c r="K79" s="129">
        <v>17047732.559999943</v>
      </c>
      <c r="L79" s="132"/>
      <c r="M79" s="119"/>
      <c r="N79" s="132"/>
      <c r="O79" s="130">
        <f>SUM(C79:K79)</f>
        <v>17287532.549999941</v>
      </c>
    </row>
    <row r="80" spans="2:15" ht="11" thickBot="1" x14ac:dyDescent="0.3">
      <c r="B80" s="39" t="s">
        <v>38</v>
      </c>
      <c r="C80" s="97">
        <f>C61-C71</f>
        <v>-44219874.909999847</v>
      </c>
      <c r="D80" s="97">
        <f t="shared" ref="D80:N80" si="19">D61-D71</f>
        <v>-4335241.7566109709</v>
      </c>
      <c r="E80" s="97">
        <f t="shared" si="19"/>
        <v>-55127599.490000002</v>
      </c>
      <c r="F80" s="97">
        <f t="shared" si="19"/>
        <v>0</v>
      </c>
      <c r="G80" s="97">
        <f t="shared" si="19"/>
        <v>0</v>
      </c>
      <c r="H80" s="98">
        <f t="shared" si="19"/>
        <v>4429753.0699999975</v>
      </c>
      <c r="I80" s="97">
        <f t="shared" si="19"/>
        <v>-107507338.15000005</v>
      </c>
      <c r="J80" s="97">
        <f t="shared" si="19"/>
        <v>-140266218.92000091</v>
      </c>
      <c r="K80" s="98">
        <f t="shared" si="19"/>
        <v>123216997.23999691</v>
      </c>
      <c r="L80" s="97">
        <f>L61-L71</f>
        <v>0</v>
      </c>
      <c r="M80" s="97">
        <f t="shared" si="19"/>
        <v>0</v>
      </c>
      <c r="N80" s="98">
        <f t="shared" si="19"/>
        <v>0</v>
      </c>
      <c r="O80" s="98">
        <f t="shared" si="16"/>
        <v>-223809522.91661489</v>
      </c>
    </row>
    <row r="81" spans="2:15" ht="10.5" thickTop="1" x14ac:dyDescent="0.25">
      <c r="B81" s="45"/>
      <c r="C81" s="133"/>
      <c r="D81" s="133"/>
      <c r="E81" s="133"/>
      <c r="F81" s="133"/>
      <c r="G81" s="133"/>
      <c r="H81" s="133"/>
      <c r="I81" s="134"/>
      <c r="J81" s="134"/>
      <c r="K81" s="134"/>
      <c r="L81" s="133"/>
      <c r="M81" s="133"/>
      <c r="N81" s="133"/>
      <c r="O81" s="133"/>
    </row>
    <row r="82" spans="2:15" ht="13.5" x14ac:dyDescent="0.35">
      <c r="B82" s="46" t="s">
        <v>32</v>
      </c>
      <c r="C82" s="135">
        <v>48951237.240000121</v>
      </c>
      <c r="D82" s="136"/>
      <c r="E82" s="135">
        <v>7000021.1800000109</v>
      </c>
      <c r="F82" s="137"/>
      <c r="G82" s="138"/>
      <c r="H82" s="135">
        <v>1332449.0000000386</v>
      </c>
      <c r="I82" s="135">
        <v>1188840.8100000008</v>
      </c>
      <c r="J82" s="135">
        <v>4062429.6300000064</v>
      </c>
      <c r="K82" s="135">
        <v>25758764.089999948</v>
      </c>
      <c r="L82" s="139"/>
      <c r="M82" s="140"/>
      <c r="N82" s="140"/>
      <c r="O82" s="140">
        <f>SUM(C82:K82)</f>
        <v>88293741.950000122</v>
      </c>
    </row>
    <row r="83" spans="2:15" x14ac:dyDescent="0.25">
      <c r="B83" s="141"/>
      <c r="C83" s="142"/>
      <c r="D83" s="142"/>
      <c r="E83" s="142"/>
      <c r="F83" s="143"/>
      <c r="G83" s="143"/>
      <c r="H83" s="143"/>
      <c r="I83" s="144"/>
      <c r="J83" s="144"/>
      <c r="K83" s="144"/>
      <c r="L83" s="143"/>
      <c r="M83" s="142"/>
      <c r="N83" s="142"/>
      <c r="O83" s="145"/>
    </row>
  </sheetData>
  <pageMargins left="0.75" right="0.75" top="1" bottom="1" header="0.5" footer="0.5"/>
  <pageSetup paperSize="9" scale="4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81DD-DA17-48DF-81DD-8D694F647114}">
  <sheetPr>
    <pageSetUpPr fitToPage="1"/>
  </sheetPr>
  <dimension ref="B1:O82"/>
  <sheetViews>
    <sheetView showGridLines="0" topLeftCell="B52" zoomScale="87" zoomScaleNormal="87" workbookViewId="0">
      <selection activeCell="O82" sqref="O82"/>
    </sheetView>
  </sheetViews>
  <sheetFormatPr defaultColWidth="9.26953125" defaultRowHeight="10" x14ac:dyDescent="0.25"/>
  <cols>
    <col min="1" max="1" width="2.7265625" style="33" customWidth="1"/>
    <col min="2" max="2" width="47" style="33" customWidth="1"/>
    <col min="3" max="3" width="13.26953125" style="19" customWidth="1"/>
    <col min="4" max="4" width="16.26953125" style="19" customWidth="1"/>
    <col min="5" max="5" width="14.453125" style="19" customWidth="1"/>
    <col min="6" max="6" width="15.7265625" style="19" customWidth="1"/>
    <col min="7" max="8" width="16.54296875" style="19" customWidth="1"/>
    <col min="9" max="9" width="13.7265625" style="19" customWidth="1"/>
    <col min="10" max="10" width="17.26953125" style="19" customWidth="1"/>
    <col min="11" max="11" width="11.7265625" style="19" bestFit="1" customWidth="1"/>
    <col min="12" max="12" width="12.7265625" style="19" customWidth="1"/>
    <col min="13" max="13" width="14" style="19" customWidth="1"/>
    <col min="14" max="14" width="14.54296875" style="19" customWidth="1"/>
    <col min="15" max="15" width="13.7265625" style="19" bestFit="1" customWidth="1"/>
    <col min="16" max="16" width="2.7265625" style="33" customWidth="1"/>
    <col min="17" max="16384" width="9.26953125" style="33"/>
  </cols>
  <sheetData>
    <row r="1" spans="2:15" ht="10.5" x14ac:dyDescent="0.25">
      <c r="B1" s="41" t="s">
        <v>39</v>
      </c>
      <c r="C1" s="18"/>
      <c r="D1" s="18"/>
      <c r="E1" s="18"/>
      <c r="F1" s="18"/>
      <c r="G1" s="18"/>
    </row>
    <row r="2" spans="2:15" ht="10.5" x14ac:dyDescent="0.25">
      <c r="B2" s="34" t="s">
        <v>45</v>
      </c>
      <c r="C2" s="20"/>
      <c r="D2" s="20"/>
    </row>
    <row r="5" spans="2:15" ht="10.5" x14ac:dyDescent="0.25">
      <c r="B5" s="49" t="s">
        <v>40</v>
      </c>
    </row>
    <row r="7" spans="2:15" ht="42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15" ht="10.5" x14ac:dyDescent="0.25">
      <c r="B8" s="36" t="s">
        <v>3</v>
      </c>
      <c r="C8" s="1">
        <v>8173638425.6000032</v>
      </c>
      <c r="D8" s="1">
        <v>0</v>
      </c>
      <c r="E8" s="1">
        <v>13636413500.510002</v>
      </c>
      <c r="F8" s="1">
        <v>0</v>
      </c>
      <c r="G8" s="1">
        <v>0</v>
      </c>
      <c r="H8" s="1">
        <v>488128204.40000021</v>
      </c>
      <c r="I8" s="1">
        <v>41833002439.779984</v>
      </c>
      <c r="J8" s="1">
        <v>13611265524.570004</v>
      </c>
      <c r="K8" s="1">
        <v>0</v>
      </c>
      <c r="L8" s="1">
        <v>18146152691.530014</v>
      </c>
      <c r="M8" s="1">
        <v>0</v>
      </c>
      <c r="N8" s="1">
        <v>277431809.80000001</v>
      </c>
      <c r="O8" s="1">
        <v>96166032596.190018</v>
      </c>
    </row>
    <row r="9" spans="2:15" x14ac:dyDescent="0.2">
      <c r="B9" s="37" t="s">
        <v>21</v>
      </c>
      <c r="C9" s="3">
        <v>6827773970.0243301</v>
      </c>
      <c r="D9" s="3"/>
      <c r="E9" s="3">
        <v>9561693500.2191105</v>
      </c>
      <c r="F9" s="3"/>
      <c r="G9" s="3"/>
      <c r="H9" s="3">
        <v>394660557.33998454</v>
      </c>
      <c r="I9" s="3">
        <v>29560825458.7995</v>
      </c>
      <c r="J9" s="3">
        <v>9430606841.6842041</v>
      </c>
      <c r="K9" s="4"/>
      <c r="L9" s="4">
        <v>11974619344.617498</v>
      </c>
      <c r="M9" s="3"/>
      <c r="N9" s="4">
        <v>140103063.949</v>
      </c>
      <c r="O9" s="16">
        <v>67890282736.633629</v>
      </c>
    </row>
    <row r="10" spans="2:15" x14ac:dyDescent="0.2">
      <c r="B10" s="37" t="s">
        <v>23</v>
      </c>
      <c r="C10" s="3">
        <v>1345864455.5756729</v>
      </c>
      <c r="D10" s="3"/>
      <c r="E10" s="3">
        <v>4074720000.2908912</v>
      </c>
      <c r="F10" s="3"/>
      <c r="G10" s="3"/>
      <c r="H10" s="3">
        <v>93467647.060015664</v>
      </c>
      <c r="I10" s="3">
        <v>12272176980.980482</v>
      </c>
      <c r="J10" s="3">
        <v>4180658682.8857994</v>
      </c>
      <c r="K10" s="4"/>
      <c r="L10" s="4">
        <v>6171533346.9125166</v>
      </c>
      <c r="M10" s="3"/>
      <c r="N10" s="4">
        <v>137328745.85100001</v>
      </c>
      <c r="O10" s="16">
        <v>28275749859.556381</v>
      </c>
    </row>
    <row r="11" spans="2:15" x14ac:dyDescent="0.2">
      <c r="B11" s="38" t="s">
        <v>22</v>
      </c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4"/>
      <c r="O11" s="17">
        <v>0</v>
      </c>
    </row>
    <row r="12" spans="2:15" ht="10.5" x14ac:dyDescent="0.25">
      <c r="B12" s="36" t="s">
        <v>4</v>
      </c>
      <c r="C12" s="1">
        <v>0</v>
      </c>
      <c r="D12" s="1">
        <v>458470942.38071042</v>
      </c>
      <c r="E12" s="1">
        <v>0</v>
      </c>
      <c r="F12" s="1">
        <v>4941611507.7864151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5400082450.1671257</v>
      </c>
    </row>
    <row r="13" spans="2:15" x14ac:dyDescent="0.2">
      <c r="B13" s="37" t="s">
        <v>21</v>
      </c>
      <c r="C13" s="3"/>
      <c r="D13" s="3">
        <v>390000633.67329586</v>
      </c>
      <c r="E13" s="3"/>
      <c r="F13" s="3">
        <v>2803771019.62959</v>
      </c>
      <c r="G13" s="3"/>
      <c r="H13" s="3"/>
      <c r="I13" s="3"/>
      <c r="J13" s="3"/>
      <c r="K13" s="4"/>
      <c r="L13" s="4"/>
      <c r="M13" s="4"/>
      <c r="N13" s="4"/>
      <c r="O13" s="16">
        <v>3193771653.302886</v>
      </c>
    </row>
    <row r="14" spans="2:15" x14ac:dyDescent="0.2">
      <c r="B14" s="37" t="s">
        <v>23</v>
      </c>
      <c r="C14" s="3"/>
      <c r="D14" s="3">
        <v>68470308.707414567</v>
      </c>
      <c r="E14" s="3"/>
      <c r="F14" s="3">
        <v>2137840488.1568248</v>
      </c>
      <c r="G14" s="3"/>
      <c r="H14" s="3"/>
      <c r="I14" s="3"/>
      <c r="J14" s="3"/>
      <c r="K14" s="4"/>
      <c r="L14" s="4"/>
      <c r="M14" s="4"/>
      <c r="N14" s="4"/>
      <c r="O14" s="16">
        <v>2206310796.8642392</v>
      </c>
    </row>
    <row r="15" spans="2:15" x14ac:dyDescent="0.2">
      <c r="B15" s="38" t="s">
        <v>22</v>
      </c>
      <c r="C15" s="3"/>
      <c r="D15" s="3"/>
      <c r="E15" s="3"/>
      <c r="F15" s="3"/>
      <c r="G15" s="3"/>
      <c r="H15" s="3"/>
      <c r="I15" s="3"/>
      <c r="J15" s="3"/>
      <c r="K15" s="4"/>
      <c r="L15" s="4"/>
      <c r="M15" s="4"/>
      <c r="N15" s="4"/>
      <c r="O15" s="17">
        <v>0</v>
      </c>
    </row>
    <row r="16" spans="2:15" ht="10.5" x14ac:dyDescent="0.25">
      <c r="B16" s="36" t="s">
        <v>5</v>
      </c>
      <c r="C16" s="1">
        <v>477002988.42999989</v>
      </c>
      <c r="D16" s="1">
        <v>0</v>
      </c>
      <c r="E16" s="1">
        <v>6970069422.579999</v>
      </c>
      <c r="F16" s="1">
        <v>0</v>
      </c>
      <c r="G16" s="1">
        <v>0</v>
      </c>
      <c r="H16" s="1">
        <v>0</v>
      </c>
      <c r="I16" s="1">
        <v>6088777865.7799997</v>
      </c>
      <c r="J16" s="1">
        <v>0</v>
      </c>
      <c r="K16" s="1">
        <v>0</v>
      </c>
      <c r="L16" s="1">
        <v>1261988057.7399998</v>
      </c>
      <c r="M16" s="1">
        <v>125814273.80999999</v>
      </c>
      <c r="N16" s="1">
        <v>11696531526.68</v>
      </c>
      <c r="O16" s="1">
        <v>26620184135.019997</v>
      </c>
    </row>
    <row r="17" spans="2:15" x14ac:dyDescent="0.2">
      <c r="B17" s="37" t="s">
        <v>21</v>
      </c>
      <c r="C17" s="3">
        <v>477002988.42999989</v>
      </c>
      <c r="D17" s="3"/>
      <c r="E17" s="3">
        <v>6970069422.579999</v>
      </c>
      <c r="F17" s="3"/>
      <c r="G17" s="3"/>
      <c r="H17" s="3"/>
      <c r="I17" s="3">
        <v>6088777865.7799997</v>
      </c>
      <c r="J17" s="3"/>
      <c r="K17" s="4"/>
      <c r="L17" s="4">
        <v>1261988057.7399998</v>
      </c>
      <c r="M17" s="3">
        <v>125814273.80999999</v>
      </c>
      <c r="N17" s="4">
        <v>11696531526.68</v>
      </c>
      <c r="O17" s="16">
        <v>26620184135.019997</v>
      </c>
    </row>
    <row r="18" spans="2:15" x14ac:dyDescent="0.2">
      <c r="B18" s="37" t="s">
        <v>23</v>
      </c>
      <c r="C18" s="3"/>
      <c r="D18" s="3"/>
      <c r="E18" s="3"/>
      <c r="F18" s="3"/>
      <c r="G18" s="3"/>
      <c r="H18" s="3"/>
      <c r="I18" s="3"/>
      <c r="J18" s="3"/>
      <c r="K18" s="4"/>
      <c r="L18" s="4"/>
      <c r="M18" s="3"/>
      <c r="N18" s="4"/>
      <c r="O18" s="16">
        <v>0</v>
      </c>
    </row>
    <row r="19" spans="2:15" x14ac:dyDescent="0.2">
      <c r="B19" s="38" t="s">
        <v>22</v>
      </c>
      <c r="C19" s="3"/>
      <c r="D19" s="3"/>
      <c r="E19" s="3"/>
      <c r="F19" s="3"/>
      <c r="G19" s="3"/>
      <c r="H19" s="3"/>
      <c r="I19" s="3"/>
      <c r="J19" s="3"/>
      <c r="K19" s="4"/>
      <c r="L19" s="4"/>
      <c r="M19" s="3"/>
      <c r="N19" s="4"/>
      <c r="O19" s="17">
        <v>0</v>
      </c>
    </row>
    <row r="20" spans="2:15" ht="10.5" x14ac:dyDescent="0.25">
      <c r="B20" s="36" t="s">
        <v>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2:15" x14ac:dyDescent="0.2">
      <c r="B21" s="37" t="s">
        <v>21</v>
      </c>
      <c r="C21" s="3"/>
      <c r="D21" s="3"/>
      <c r="E21" s="3"/>
      <c r="F21" s="3"/>
      <c r="G21" s="3"/>
      <c r="H21" s="3"/>
      <c r="I21" s="3"/>
      <c r="J21" s="3"/>
      <c r="K21" s="4"/>
      <c r="L21" s="4"/>
      <c r="M21" s="4"/>
      <c r="N21" s="4"/>
      <c r="O21" s="16">
        <v>0</v>
      </c>
    </row>
    <row r="22" spans="2:15" x14ac:dyDescent="0.2">
      <c r="B22" s="37" t="s">
        <v>23</v>
      </c>
      <c r="C22" s="3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16">
        <v>0</v>
      </c>
    </row>
    <row r="23" spans="2:15" x14ac:dyDescent="0.2">
      <c r="B23" s="38" t="s">
        <v>22</v>
      </c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17">
        <v>0</v>
      </c>
    </row>
    <row r="24" spans="2:15" ht="10.5" x14ac:dyDescent="0.25">
      <c r="B24" s="36" t="s">
        <v>25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2:15" x14ac:dyDescent="0.2">
      <c r="B25" s="37" t="s">
        <v>21</v>
      </c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4"/>
      <c r="O25" s="16">
        <v>0</v>
      </c>
    </row>
    <row r="26" spans="2:15" x14ac:dyDescent="0.2">
      <c r="B26" s="37" t="s">
        <v>23</v>
      </c>
      <c r="C26" s="3"/>
      <c r="D26" s="3"/>
      <c r="E26" s="3"/>
      <c r="F26" s="3"/>
      <c r="G26" s="3"/>
      <c r="H26" s="3"/>
      <c r="I26" s="3"/>
      <c r="J26" s="3"/>
      <c r="K26" s="4"/>
      <c r="L26" s="4"/>
      <c r="M26" s="4"/>
      <c r="N26" s="4"/>
      <c r="O26" s="16">
        <v>0</v>
      </c>
    </row>
    <row r="27" spans="2:15" x14ac:dyDescent="0.2">
      <c r="B27" s="38" t="s">
        <v>22</v>
      </c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17">
        <v>0</v>
      </c>
    </row>
    <row r="28" spans="2:15" ht="10.5" x14ac:dyDescent="0.25">
      <c r="B28" s="36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2:15" x14ac:dyDescent="0.2">
      <c r="B29" s="37" t="s">
        <v>21</v>
      </c>
      <c r="C29" s="3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16">
        <v>0</v>
      </c>
    </row>
    <row r="30" spans="2:15" x14ac:dyDescent="0.2">
      <c r="B30" s="37" t="s">
        <v>23</v>
      </c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4"/>
      <c r="O30" s="16">
        <v>0</v>
      </c>
    </row>
    <row r="31" spans="2:15" x14ac:dyDescent="0.2">
      <c r="B31" s="38" t="s">
        <v>22</v>
      </c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17">
        <v>0</v>
      </c>
    </row>
    <row r="32" spans="2:15" ht="10.5" x14ac:dyDescent="0.25">
      <c r="B32" s="36" t="s"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2:15" x14ac:dyDescent="0.2">
      <c r="B33" s="37" t="s">
        <v>21</v>
      </c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16">
        <v>0</v>
      </c>
    </row>
    <row r="34" spans="2:15" x14ac:dyDescent="0.2">
      <c r="B34" s="37" t="s">
        <v>23</v>
      </c>
      <c r="C34" s="3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16">
        <v>0</v>
      </c>
    </row>
    <row r="35" spans="2:15" x14ac:dyDescent="0.2">
      <c r="B35" s="38" t="s">
        <v>22</v>
      </c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17">
        <v>0</v>
      </c>
    </row>
    <row r="36" spans="2:15" ht="11" thickBot="1" x14ac:dyDescent="0.3">
      <c r="B36" s="39" t="s">
        <v>2</v>
      </c>
      <c r="C36" s="6">
        <v>8650641414.0300026</v>
      </c>
      <c r="D36" s="6">
        <v>458470942.38071042</v>
      </c>
      <c r="E36" s="6">
        <v>20606482923.09</v>
      </c>
      <c r="F36" s="6">
        <v>4941611507.7864151</v>
      </c>
      <c r="G36" s="6">
        <v>0</v>
      </c>
      <c r="H36" s="6">
        <v>488128204.40000021</v>
      </c>
      <c r="I36" s="6">
        <v>47921780305.559982</v>
      </c>
      <c r="J36" s="6">
        <v>13611265524.570004</v>
      </c>
      <c r="K36" s="6">
        <v>0</v>
      </c>
      <c r="L36" s="6">
        <v>19408140749.270012</v>
      </c>
      <c r="M36" s="6">
        <v>125814273.80999999</v>
      </c>
      <c r="N36" s="6">
        <v>11973963336.48</v>
      </c>
      <c r="O36" s="7">
        <v>128186299181.37712</v>
      </c>
    </row>
    <row r="37" spans="2:15" ht="11" thickTop="1" x14ac:dyDescent="0.25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0.5" x14ac:dyDescent="0.25"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>
        <v>0</v>
      </c>
    </row>
    <row r="39" spans="2:15" ht="10.5" x14ac:dyDescent="0.2">
      <c r="B39" s="49" t="s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5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42" x14ac:dyDescent="0.25">
      <c r="B41" s="35" t="s">
        <v>0</v>
      </c>
      <c r="C41" s="21" t="s">
        <v>16</v>
      </c>
      <c r="D41" s="21" t="s">
        <v>17</v>
      </c>
      <c r="E41" s="21" t="s">
        <v>27</v>
      </c>
      <c r="F41" s="21" t="s">
        <v>28</v>
      </c>
      <c r="G41" s="21" t="s">
        <v>18</v>
      </c>
      <c r="H41" s="21" t="s">
        <v>19</v>
      </c>
      <c r="I41" s="21" t="s">
        <v>12</v>
      </c>
      <c r="J41" s="21" t="s">
        <v>13</v>
      </c>
      <c r="K41" s="21" t="s">
        <v>15</v>
      </c>
      <c r="L41" s="21" t="s">
        <v>14</v>
      </c>
      <c r="M41" s="21" t="s">
        <v>29</v>
      </c>
      <c r="N41" s="21" t="s">
        <v>1</v>
      </c>
      <c r="O41" s="22" t="s">
        <v>2</v>
      </c>
    </row>
    <row r="42" spans="2:15" ht="10.5" x14ac:dyDescent="0.25">
      <c r="B42" s="36" t="s">
        <v>36</v>
      </c>
      <c r="C42" s="1">
        <v>8614681232.5400066</v>
      </c>
      <c r="D42" s="1">
        <v>458470942.38071036</v>
      </c>
      <c r="E42" s="1">
        <v>20632907648.729988</v>
      </c>
      <c r="F42" s="1">
        <v>4915186782.1464119</v>
      </c>
      <c r="G42" s="1">
        <v>0</v>
      </c>
      <c r="H42" s="1">
        <v>524088385.88999999</v>
      </c>
      <c r="I42" s="1">
        <v>46751677106.620049</v>
      </c>
      <c r="J42" s="1">
        <v>14781368723.509998</v>
      </c>
      <c r="K42" s="1">
        <v>0</v>
      </c>
      <c r="L42" s="1">
        <v>19408140749.269997</v>
      </c>
      <c r="M42" s="1">
        <v>125814273.81</v>
      </c>
      <c r="N42" s="1">
        <v>11973963336.48</v>
      </c>
      <c r="O42" s="1">
        <v>128186299181.37715</v>
      </c>
    </row>
    <row r="43" spans="2:15" x14ac:dyDescent="0.2">
      <c r="B43" s="37" t="s">
        <v>21</v>
      </c>
      <c r="C43" s="3">
        <v>7080660978.5864258</v>
      </c>
      <c r="D43" s="3">
        <v>0</v>
      </c>
      <c r="E43" s="3">
        <v>10850664964.880842</v>
      </c>
      <c r="F43" s="3">
        <v>0</v>
      </c>
      <c r="G43" s="3">
        <v>0</v>
      </c>
      <c r="H43" s="3">
        <v>0</v>
      </c>
      <c r="I43" s="3">
        <v>32946817488.176765</v>
      </c>
      <c r="J43" s="3">
        <v>10162876567.256777</v>
      </c>
      <c r="K43" s="4">
        <v>0</v>
      </c>
      <c r="L43" s="4">
        <v>12807403398.944513</v>
      </c>
      <c r="M43" s="4">
        <v>0</v>
      </c>
      <c r="N43" s="4">
        <v>0</v>
      </c>
      <c r="O43" s="16">
        <v>73848423397.845322</v>
      </c>
    </row>
    <row r="44" spans="2:15" x14ac:dyDescent="0.2">
      <c r="B44" s="37" t="s">
        <v>23</v>
      </c>
      <c r="C44" s="3">
        <v>1534020253.9535809</v>
      </c>
      <c r="D44" s="3">
        <v>458470942.38071036</v>
      </c>
      <c r="E44" s="3">
        <v>9782242683.8491459</v>
      </c>
      <c r="F44" s="3">
        <v>4915186782.1464119</v>
      </c>
      <c r="G44" s="3">
        <v>0</v>
      </c>
      <c r="H44" s="3">
        <v>524088385.88999999</v>
      </c>
      <c r="I44" s="3">
        <v>13804859618.443283</v>
      </c>
      <c r="J44" s="3">
        <v>4618492156.2532215</v>
      </c>
      <c r="K44" s="4">
        <v>0</v>
      </c>
      <c r="L44" s="4">
        <v>6600737350.3254833</v>
      </c>
      <c r="M44" s="4">
        <v>125814273.81</v>
      </c>
      <c r="N44" s="4">
        <v>11973963336.48</v>
      </c>
      <c r="O44" s="16">
        <v>54337875783.53183</v>
      </c>
    </row>
    <row r="45" spans="2:15" x14ac:dyDescent="0.2">
      <c r="B45" s="38" t="s">
        <v>22</v>
      </c>
      <c r="C45" s="12"/>
      <c r="D45" s="12"/>
      <c r="E45" s="12"/>
      <c r="F45" s="12"/>
      <c r="G45" s="12"/>
      <c r="H45" s="12"/>
      <c r="I45" s="12"/>
      <c r="J45" s="12"/>
      <c r="K45" s="13"/>
      <c r="L45" s="13"/>
      <c r="M45" s="13"/>
      <c r="N45" s="13"/>
      <c r="O45" s="17">
        <v>0</v>
      </c>
    </row>
    <row r="46" spans="2:15" x14ac:dyDescent="0.25">
      <c r="C46" s="24">
        <v>8614681232.5400066</v>
      </c>
      <c r="D46" s="24">
        <v>458470942.38071036</v>
      </c>
      <c r="E46" s="24">
        <v>20632907648.729988</v>
      </c>
      <c r="F46" s="24">
        <v>4915186782.1464119</v>
      </c>
      <c r="G46" s="24">
        <v>0</v>
      </c>
      <c r="H46" s="24">
        <v>524088385.88999999</v>
      </c>
      <c r="I46" s="24">
        <v>46751677106.620049</v>
      </c>
      <c r="J46" s="24">
        <v>14781368723.509998</v>
      </c>
      <c r="K46" s="24">
        <v>0</v>
      </c>
      <c r="L46" s="24">
        <v>19408140749.269997</v>
      </c>
      <c r="M46" s="24">
        <v>125814273.81</v>
      </c>
      <c r="N46" s="24">
        <v>11973963336.48</v>
      </c>
      <c r="O46" s="24"/>
    </row>
    <row r="47" spans="2:15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ht="10.5" x14ac:dyDescent="0.2">
      <c r="B48" s="49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 ht="10.5" x14ac:dyDescent="0.25">
      <c r="B49" s="4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2:15" ht="42" x14ac:dyDescent="0.25">
      <c r="B50" s="35" t="s">
        <v>30</v>
      </c>
      <c r="C50" s="21" t="s">
        <v>16</v>
      </c>
      <c r="D50" s="21" t="s">
        <v>17</v>
      </c>
      <c r="E50" s="21" t="s">
        <v>27</v>
      </c>
      <c r="F50" s="21" t="s">
        <v>28</v>
      </c>
      <c r="G50" s="21" t="s">
        <v>18</v>
      </c>
      <c r="H50" s="21" t="s">
        <v>19</v>
      </c>
      <c r="I50" s="21" t="s">
        <v>12</v>
      </c>
      <c r="J50" s="21" t="s">
        <v>13</v>
      </c>
      <c r="K50" s="21" t="s">
        <v>15</v>
      </c>
      <c r="L50" s="21" t="s">
        <v>14</v>
      </c>
      <c r="M50" s="21" t="s">
        <v>29</v>
      </c>
      <c r="N50" s="21" t="s">
        <v>1</v>
      </c>
      <c r="O50" s="22" t="s">
        <v>2</v>
      </c>
    </row>
    <row r="51" spans="2:15" ht="10.5" x14ac:dyDescent="0.25">
      <c r="B51" s="36" t="s">
        <v>31</v>
      </c>
      <c r="C51" s="1">
        <v>30593</v>
      </c>
      <c r="D51" s="1">
        <v>433</v>
      </c>
      <c r="E51" s="1">
        <v>58544</v>
      </c>
      <c r="F51" s="1">
        <v>2054</v>
      </c>
      <c r="G51" s="1">
        <v>0</v>
      </c>
      <c r="H51" s="1">
        <v>0</v>
      </c>
      <c r="I51" s="1">
        <v>225807</v>
      </c>
      <c r="J51" s="1">
        <v>19757</v>
      </c>
      <c r="K51" s="1">
        <v>0</v>
      </c>
      <c r="L51" s="1">
        <v>21482</v>
      </c>
      <c r="M51" s="1">
        <v>511</v>
      </c>
      <c r="N51" s="1">
        <v>430</v>
      </c>
      <c r="O51" s="1">
        <v>359611</v>
      </c>
    </row>
    <row r="52" spans="2:15" x14ac:dyDescent="0.2">
      <c r="B52" s="37" t="s">
        <v>21</v>
      </c>
      <c r="C52" s="3">
        <v>30593</v>
      </c>
      <c r="D52" s="3">
        <v>433</v>
      </c>
      <c r="E52" s="3">
        <v>58544</v>
      </c>
      <c r="F52" s="3">
        <v>2054</v>
      </c>
      <c r="G52" s="3"/>
      <c r="H52" s="3"/>
      <c r="I52" s="3">
        <v>225807</v>
      </c>
      <c r="J52" s="3">
        <v>19757</v>
      </c>
      <c r="K52" s="4"/>
      <c r="L52" s="4">
        <v>21482</v>
      </c>
      <c r="M52" s="4">
        <v>511</v>
      </c>
      <c r="N52" s="4">
        <v>430</v>
      </c>
      <c r="O52" s="16">
        <v>359611</v>
      </c>
    </row>
    <row r="53" spans="2:15" x14ac:dyDescent="0.2">
      <c r="B53" s="37" t="s">
        <v>23</v>
      </c>
      <c r="C53" s="3"/>
      <c r="D53" s="3"/>
      <c r="E53" s="3"/>
      <c r="F53" s="3"/>
      <c r="G53" s="3"/>
      <c r="H53" s="3"/>
      <c r="I53" s="3"/>
      <c r="J53" s="3"/>
      <c r="K53" s="4"/>
      <c r="L53" s="4"/>
      <c r="M53" s="4"/>
      <c r="N53" s="4"/>
      <c r="O53" s="16">
        <v>0</v>
      </c>
    </row>
    <row r="54" spans="2:15" x14ac:dyDescent="0.2">
      <c r="B54" s="38" t="s">
        <v>22</v>
      </c>
      <c r="C54" s="12"/>
      <c r="D54" s="12"/>
      <c r="E54" s="12"/>
      <c r="F54" s="12"/>
      <c r="G54" s="12"/>
      <c r="H54" s="12"/>
      <c r="I54" s="12"/>
      <c r="J54" s="12"/>
      <c r="K54" s="13"/>
      <c r="L54" s="13"/>
      <c r="M54" s="13"/>
      <c r="N54" s="13"/>
      <c r="O54" s="17">
        <v>0</v>
      </c>
    </row>
    <row r="55" spans="2:15" ht="10.5" x14ac:dyDescent="0.25">
      <c r="B55" s="41"/>
      <c r="C55" s="24"/>
      <c r="D55" s="24"/>
      <c r="E55" s="24"/>
      <c r="F55" s="24"/>
      <c r="G55" s="24"/>
      <c r="H55" s="24"/>
      <c r="I55" s="24"/>
      <c r="J55" s="24">
        <v>0</v>
      </c>
      <c r="K55" s="24"/>
      <c r="L55" s="24"/>
      <c r="M55" s="24">
        <v>0</v>
      </c>
      <c r="N55" s="24"/>
      <c r="O55" s="25"/>
    </row>
    <row r="56" spans="2:15" ht="10.5" x14ac:dyDescent="0.25">
      <c r="B56" s="41"/>
      <c r="C56" s="24"/>
      <c r="D56" s="24">
        <v>0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2:15" ht="10.5" x14ac:dyDescent="0.25">
      <c r="B57" s="49" t="s">
        <v>41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4"/>
    </row>
    <row r="58" spans="2:15" ht="10.5" x14ac:dyDescent="0.25">
      <c r="B58" s="4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2:15" ht="42" x14ac:dyDescent="0.25">
      <c r="B59" s="35" t="s">
        <v>9</v>
      </c>
      <c r="C59" s="21" t="s">
        <v>16</v>
      </c>
      <c r="D59" s="21" t="s">
        <v>17</v>
      </c>
      <c r="E59" s="21" t="s">
        <v>27</v>
      </c>
      <c r="F59" s="21" t="s">
        <v>28</v>
      </c>
      <c r="G59" s="21" t="s">
        <v>18</v>
      </c>
      <c r="H59" s="21" t="s">
        <v>19</v>
      </c>
      <c r="I59" s="21" t="s">
        <v>12</v>
      </c>
      <c r="J59" s="21" t="s">
        <v>13</v>
      </c>
      <c r="K59" s="21" t="s">
        <v>15</v>
      </c>
      <c r="L59" s="21" t="s">
        <v>14</v>
      </c>
      <c r="M59" s="21" t="s">
        <v>29</v>
      </c>
      <c r="N59" s="21" t="s">
        <v>1</v>
      </c>
      <c r="O59" s="22" t="s">
        <v>2</v>
      </c>
    </row>
    <row r="60" spans="2:15" ht="10.5" x14ac:dyDescent="0.25">
      <c r="B60" s="3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</row>
    <row r="61" spans="2:15" ht="10.5" x14ac:dyDescent="0.25">
      <c r="B61" s="43" t="s">
        <v>33</v>
      </c>
      <c r="C61" s="9">
        <v>539914220.27999222</v>
      </c>
      <c r="D61" s="9">
        <v>6664998.7100793719</v>
      </c>
      <c r="E61" s="9">
        <v>1320553055.9399998</v>
      </c>
      <c r="F61" s="9">
        <v>307492360.99775827</v>
      </c>
      <c r="G61" s="9">
        <v>0</v>
      </c>
      <c r="H61" s="9">
        <v>29097025.969999954</v>
      </c>
      <c r="I61" s="9">
        <v>1603830900.5900002</v>
      </c>
      <c r="J61" s="9">
        <v>730072650.50000024</v>
      </c>
      <c r="K61" s="9">
        <v>0</v>
      </c>
      <c r="L61" s="9">
        <v>805027606.12999892</v>
      </c>
      <c r="M61" s="9">
        <v>236.32000005245209</v>
      </c>
      <c r="N61" s="9">
        <v>1001349501.6399994</v>
      </c>
      <c r="O61" s="10">
        <v>6344002557.0778284</v>
      </c>
    </row>
    <row r="62" spans="2:15" ht="10.5" x14ac:dyDescent="0.25">
      <c r="B62" s="36" t="s">
        <v>34</v>
      </c>
      <c r="C62" s="1">
        <v>467302146.66999257</v>
      </c>
      <c r="D62" s="1">
        <v>6664998.7100793719</v>
      </c>
      <c r="E62" s="1">
        <v>1104448173.0500011</v>
      </c>
      <c r="F62" s="1">
        <v>157433943.19783497</v>
      </c>
      <c r="G62" s="1">
        <v>0</v>
      </c>
      <c r="H62" s="1">
        <v>7327744.1799999923</v>
      </c>
      <c r="I62" s="1">
        <v>466508894.20999765</v>
      </c>
      <c r="J62" s="1">
        <v>730072650.50000024</v>
      </c>
      <c r="K62" s="1">
        <v>0</v>
      </c>
      <c r="L62" s="1">
        <v>805027606.12999892</v>
      </c>
      <c r="M62" s="1">
        <v>236.32000005245209</v>
      </c>
      <c r="N62" s="1">
        <v>440329519.60000014</v>
      </c>
      <c r="O62" s="11">
        <v>4185115912.5679054</v>
      </c>
    </row>
    <row r="63" spans="2:15" x14ac:dyDescent="0.2">
      <c r="B63" s="37" t="s">
        <v>21</v>
      </c>
      <c r="C63" s="3">
        <v>390782124.70434797</v>
      </c>
      <c r="D63" s="3">
        <v>5669614.974647996</v>
      </c>
      <c r="E63" s="3">
        <v>774426128.775437</v>
      </c>
      <c r="F63" s="3">
        <v>68129174.792753518</v>
      </c>
      <c r="G63" s="3">
        <v>0</v>
      </c>
      <c r="H63" s="3">
        <v>4760502.8246880807</v>
      </c>
      <c r="I63" s="3">
        <v>336962071.0754773</v>
      </c>
      <c r="J63" s="3">
        <v>505205464.80507869</v>
      </c>
      <c r="K63" s="4">
        <v>0</v>
      </c>
      <c r="L63" s="4">
        <v>531236527.60923624</v>
      </c>
      <c r="M63" s="4">
        <v>155.9472187991106</v>
      </c>
      <c r="N63" s="4">
        <v>222366407.39800006</v>
      </c>
      <c r="O63" s="5">
        <v>2839538172.9068861</v>
      </c>
    </row>
    <row r="64" spans="2:15" x14ac:dyDescent="0.2">
      <c r="B64" s="37" t="s">
        <v>23</v>
      </c>
      <c r="C64" s="3">
        <v>76520021.965644583</v>
      </c>
      <c r="D64" s="3">
        <v>995383.73543137556</v>
      </c>
      <c r="E64" s="3">
        <v>330022044.27456409</v>
      </c>
      <c r="F64" s="3">
        <v>89304768.405081466</v>
      </c>
      <c r="G64" s="3">
        <v>0</v>
      </c>
      <c r="H64" s="3">
        <v>2567241.3553119116</v>
      </c>
      <c r="I64" s="3">
        <v>129546823.13452034</v>
      </c>
      <c r="J64" s="3">
        <v>224867185.69492155</v>
      </c>
      <c r="K64" s="4">
        <v>0</v>
      </c>
      <c r="L64" s="4">
        <v>273791078.52076268</v>
      </c>
      <c r="M64" s="4">
        <v>80.372781253341486</v>
      </c>
      <c r="N64" s="4">
        <v>217963112.20200008</v>
      </c>
      <c r="O64" s="5">
        <v>1345577739.6610193</v>
      </c>
    </row>
    <row r="65" spans="2:15" x14ac:dyDescent="0.2">
      <c r="B65" s="38" t="s">
        <v>22</v>
      </c>
      <c r="C65" s="12"/>
      <c r="D65" s="12"/>
      <c r="E65" s="12"/>
      <c r="F65" s="12"/>
      <c r="G65" s="12"/>
      <c r="H65" s="12"/>
      <c r="I65" s="12"/>
      <c r="J65" s="12"/>
      <c r="K65" s="13"/>
      <c r="L65" s="13"/>
      <c r="M65" s="13"/>
      <c r="N65" s="13"/>
      <c r="O65" s="14">
        <v>0</v>
      </c>
    </row>
    <row r="66" spans="2:15" ht="10.5" x14ac:dyDescent="0.25">
      <c r="B66" s="36" t="s">
        <v>35</v>
      </c>
      <c r="C66" s="15">
        <v>72612073.609999657</v>
      </c>
      <c r="D66" s="15">
        <v>0</v>
      </c>
      <c r="E66" s="15">
        <v>216104882.88999867</v>
      </c>
      <c r="F66" s="15">
        <v>150058417.7999233</v>
      </c>
      <c r="G66" s="15">
        <v>0</v>
      </c>
      <c r="H66" s="15">
        <v>21769281.789999962</v>
      </c>
      <c r="I66" s="15">
        <v>1137322006.3800025</v>
      </c>
      <c r="J66" s="15">
        <v>0</v>
      </c>
      <c r="K66" s="15">
        <v>0</v>
      </c>
      <c r="L66" s="15">
        <v>0</v>
      </c>
      <c r="M66" s="15">
        <v>0</v>
      </c>
      <c r="N66" s="15">
        <v>561019982.03999925</v>
      </c>
      <c r="O66" s="2">
        <v>2158886644.509923</v>
      </c>
    </row>
    <row r="67" spans="2:15" x14ac:dyDescent="0.2">
      <c r="B67" s="37" t="s">
        <v>21</v>
      </c>
      <c r="C67" s="3">
        <v>64512138.484145463</v>
      </c>
      <c r="D67" s="3">
        <v>0</v>
      </c>
      <c r="E67" s="3">
        <v>151530213.86581096</v>
      </c>
      <c r="F67" s="3">
        <v>117494325.58809824</v>
      </c>
      <c r="G67" s="3">
        <v>0</v>
      </c>
      <c r="H67" s="3">
        <v>14142514.38192616</v>
      </c>
      <c r="I67" s="3">
        <v>792451571.28707623</v>
      </c>
      <c r="J67" s="3">
        <v>0</v>
      </c>
      <c r="K67" s="4">
        <v>0</v>
      </c>
      <c r="L67" s="4">
        <v>0</v>
      </c>
      <c r="M67" s="4">
        <v>0</v>
      </c>
      <c r="N67" s="4">
        <v>283315090.93019962</v>
      </c>
      <c r="O67" s="5">
        <v>1423445854.5372567</v>
      </c>
    </row>
    <row r="68" spans="2:15" x14ac:dyDescent="0.2">
      <c r="B68" s="37" t="s">
        <v>23</v>
      </c>
      <c r="C68" s="3">
        <v>8099935.1258542016</v>
      </c>
      <c r="D68" s="3">
        <v>0</v>
      </c>
      <c r="E68" s="3">
        <v>64574669.024187729</v>
      </c>
      <c r="F68" s="3">
        <v>32564092.211825054</v>
      </c>
      <c r="G68" s="3">
        <v>0</v>
      </c>
      <c r="H68" s="3">
        <v>7626767.4080738015</v>
      </c>
      <c r="I68" s="3">
        <v>344870435.09292626</v>
      </c>
      <c r="J68" s="3">
        <v>0</v>
      </c>
      <c r="K68" s="4">
        <v>0</v>
      </c>
      <c r="L68" s="4">
        <v>0</v>
      </c>
      <c r="M68" s="4">
        <v>0</v>
      </c>
      <c r="N68" s="4">
        <v>277704891.10979962</v>
      </c>
      <c r="O68" s="5">
        <v>735440789.97266674</v>
      </c>
    </row>
    <row r="69" spans="2:15" x14ac:dyDescent="0.2">
      <c r="B69" s="38" t="s">
        <v>22</v>
      </c>
      <c r="C69" s="12"/>
      <c r="D69" s="12"/>
      <c r="E69" s="12"/>
      <c r="F69" s="12"/>
      <c r="G69" s="12"/>
      <c r="H69" s="12"/>
      <c r="I69" s="12"/>
      <c r="J69" s="12"/>
      <c r="K69" s="13"/>
      <c r="L69" s="13"/>
      <c r="M69" s="13"/>
      <c r="N69" s="13"/>
      <c r="O69" s="14">
        <v>0</v>
      </c>
    </row>
    <row r="70" spans="2:15" x14ac:dyDescent="0.25">
      <c r="B70" s="44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2"/>
      <c r="O70" s="32"/>
    </row>
    <row r="71" spans="2:15" ht="10.5" x14ac:dyDescent="0.25">
      <c r="B71" s="43" t="s">
        <v>11</v>
      </c>
      <c r="C71" s="9">
        <v>693983594.25749886</v>
      </c>
      <c r="D71" s="9">
        <v>113506059.10406497</v>
      </c>
      <c r="E71" s="9">
        <v>1172906335.2699988</v>
      </c>
      <c r="F71" s="9">
        <v>174708512.91130972</v>
      </c>
      <c r="G71" s="9">
        <v>0</v>
      </c>
      <c r="H71" s="9">
        <v>15259976.932500014</v>
      </c>
      <c r="I71" s="9">
        <v>839048596.67999923</v>
      </c>
      <c r="J71" s="9">
        <v>370928176.11999947</v>
      </c>
      <c r="K71" s="9">
        <v>0</v>
      </c>
      <c r="L71" s="9">
        <v>737896570.0100019</v>
      </c>
      <c r="M71" s="9">
        <v>7360389.5200002287</v>
      </c>
      <c r="N71" s="9">
        <v>457807580.94999993</v>
      </c>
      <c r="O71" s="10">
        <v>4583405791.755373</v>
      </c>
    </row>
    <row r="72" spans="2:15" ht="10.5" x14ac:dyDescent="0.25">
      <c r="B72" s="36" t="s">
        <v>24</v>
      </c>
      <c r="C72" s="1">
        <v>693983594.25749886</v>
      </c>
      <c r="D72" s="1">
        <v>113506059.10406497</v>
      </c>
      <c r="E72" s="1">
        <v>879679751.45249903</v>
      </c>
      <c r="F72" s="1">
        <v>131031384.68348229</v>
      </c>
      <c r="G72" s="1">
        <v>0</v>
      </c>
      <c r="H72" s="1">
        <v>15259976.932500014</v>
      </c>
      <c r="I72" s="1">
        <v>839048596.67999923</v>
      </c>
      <c r="J72" s="1">
        <v>370928176.11999947</v>
      </c>
      <c r="K72" s="1">
        <v>0</v>
      </c>
      <c r="L72" s="1">
        <v>73789657.001000196</v>
      </c>
      <c r="M72" s="1">
        <v>736038.95200002287</v>
      </c>
      <c r="N72" s="1">
        <v>457807580.94999993</v>
      </c>
      <c r="O72" s="1">
        <v>3575770816.1330442</v>
      </c>
    </row>
    <row r="73" spans="2:15" x14ac:dyDescent="0.2">
      <c r="B73" s="37" t="s">
        <v>21</v>
      </c>
      <c r="C73" s="3">
        <v>581149071.77442038</v>
      </c>
      <c r="D73" s="3">
        <v>96554505.169892758</v>
      </c>
      <c r="E73" s="3">
        <v>616821142.99505091</v>
      </c>
      <c r="F73" s="3">
        <v>80032665.215393141</v>
      </c>
      <c r="G73" s="3">
        <v>0</v>
      </c>
      <c r="H73" s="3">
        <v>9913714.440266028</v>
      </c>
      <c r="I73" s="3">
        <v>593430131.90006018</v>
      </c>
      <c r="J73" s="3">
        <v>257332386.99778488</v>
      </c>
      <c r="K73" s="4">
        <v>0</v>
      </c>
      <c r="L73" s="4">
        <v>48693685.608040854</v>
      </c>
      <c r="M73" s="4">
        <v>485711.01670082548</v>
      </c>
      <c r="N73" s="4">
        <v>231192828.37974995</v>
      </c>
      <c r="O73" s="16">
        <v>2515605843.4973598</v>
      </c>
    </row>
    <row r="74" spans="2:15" x14ac:dyDescent="0.2">
      <c r="B74" s="37" t="s">
        <v>23</v>
      </c>
      <c r="C74" s="3">
        <v>112834522.48307845</v>
      </c>
      <c r="D74" s="3">
        <v>16951553.934172209</v>
      </c>
      <c r="E74" s="3">
        <v>262858608.45744815</v>
      </c>
      <c r="F74" s="3">
        <v>50998719.468089148</v>
      </c>
      <c r="G74" s="3">
        <v>0</v>
      </c>
      <c r="H74" s="3">
        <v>5346262.492233986</v>
      </c>
      <c r="I74" s="3">
        <v>245618464.77993909</v>
      </c>
      <c r="J74" s="3">
        <v>113595789.1222146</v>
      </c>
      <c r="K74" s="4">
        <v>0</v>
      </c>
      <c r="L74" s="4">
        <v>25095971.392959338</v>
      </c>
      <c r="M74" s="4">
        <v>250327.93529919742</v>
      </c>
      <c r="N74" s="4">
        <v>226614752.57024997</v>
      </c>
      <c r="O74" s="16">
        <v>1060164972.635684</v>
      </c>
    </row>
    <row r="75" spans="2:15" x14ac:dyDescent="0.2">
      <c r="B75" s="38" t="s">
        <v>22</v>
      </c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17">
        <v>0</v>
      </c>
    </row>
    <row r="76" spans="2:15" ht="10.5" x14ac:dyDescent="0.25">
      <c r="B76" s="36" t="s">
        <v>10</v>
      </c>
      <c r="C76" s="1">
        <v>0</v>
      </c>
      <c r="D76" s="1">
        <v>0</v>
      </c>
      <c r="E76" s="1">
        <v>293226583.8174997</v>
      </c>
      <c r="F76" s="1">
        <v>43677128.22782743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664106913.00900173</v>
      </c>
      <c r="M76" s="1">
        <v>6624350.5680002058</v>
      </c>
      <c r="N76" s="1">
        <v>0</v>
      </c>
      <c r="O76" s="1">
        <v>1007634975.6223291</v>
      </c>
    </row>
    <row r="77" spans="2:15" x14ac:dyDescent="0.2">
      <c r="B77" s="37" t="s">
        <v>21</v>
      </c>
      <c r="C77" s="3"/>
      <c r="D77" s="3"/>
      <c r="E77" s="3">
        <v>293226583.8174997</v>
      </c>
      <c r="F77" s="3">
        <v>43677128.22782743</v>
      </c>
      <c r="G77" s="3"/>
      <c r="H77" s="3"/>
      <c r="I77" s="3"/>
      <c r="J77" s="3"/>
      <c r="K77" s="4"/>
      <c r="L77" s="4">
        <v>664106913.00900173</v>
      </c>
      <c r="M77" s="4">
        <v>6624350.5680002058</v>
      </c>
      <c r="N77" s="4"/>
      <c r="O77" s="16">
        <v>1007634975.6223291</v>
      </c>
    </row>
    <row r="78" spans="2:15" x14ac:dyDescent="0.2">
      <c r="B78" s="37" t="s">
        <v>23</v>
      </c>
      <c r="C78" s="3"/>
      <c r="D78" s="3"/>
      <c r="E78" s="3"/>
      <c r="F78" s="3"/>
      <c r="G78" s="3"/>
      <c r="H78" s="3"/>
      <c r="I78" s="3"/>
      <c r="J78" s="3"/>
      <c r="K78" s="4"/>
      <c r="L78" s="4"/>
      <c r="M78" s="4"/>
      <c r="N78" s="4"/>
      <c r="O78" s="16">
        <v>0</v>
      </c>
    </row>
    <row r="79" spans="2:15" x14ac:dyDescent="0.2">
      <c r="B79" s="38" t="s">
        <v>22</v>
      </c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17">
        <v>0</v>
      </c>
    </row>
    <row r="80" spans="2:15" ht="11" thickBot="1" x14ac:dyDescent="0.3">
      <c r="B80" s="39" t="s">
        <v>38</v>
      </c>
      <c r="C80" s="6">
        <v>-154069373.97750664</v>
      </c>
      <c r="D80" s="6">
        <v>-106841060.3939856</v>
      </c>
      <c r="E80" s="6">
        <v>147646720.67000103</v>
      </c>
      <c r="F80" s="6">
        <v>132783848.08644855</v>
      </c>
      <c r="G80" s="6">
        <v>0</v>
      </c>
      <c r="H80" s="6">
        <v>13837049.03749994</v>
      </c>
      <c r="I80" s="6">
        <v>764782303.91000092</v>
      </c>
      <c r="J80" s="6">
        <v>359144474.38000077</v>
      </c>
      <c r="K80" s="6">
        <v>0</v>
      </c>
      <c r="L80" s="6">
        <v>67131036.119997025</v>
      </c>
      <c r="M80" s="6">
        <v>-7360153.2000001762</v>
      </c>
      <c r="N80" s="6">
        <v>543541920.68999946</v>
      </c>
      <c r="O80" s="7">
        <v>1760596765.3224554</v>
      </c>
    </row>
    <row r="81" spans="2:15" ht="10.5" thickTop="1" x14ac:dyDescent="0.25">
      <c r="B81" s="4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x14ac:dyDescent="0.25">
      <c r="B82" s="46" t="s">
        <v>32</v>
      </c>
      <c r="C82" s="48">
        <v>70679700.920000076</v>
      </c>
      <c r="D82" s="48">
        <v>0</v>
      </c>
      <c r="E82" s="48">
        <v>76997851.669999644</v>
      </c>
      <c r="F82" s="48">
        <v>0</v>
      </c>
      <c r="G82" s="48">
        <v>0</v>
      </c>
      <c r="H82" s="48">
        <v>2092582.8100000024</v>
      </c>
      <c r="I82" s="48">
        <v>124682171.18999967</v>
      </c>
      <c r="J82" s="48">
        <v>59696453.859999776</v>
      </c>
      <c r="K82" s="48">
        <v>0</v>
      </c>
      <c r="L82" s="48">
        <v>107639633.15999997</v>
      </c>
      <c r="M82" s="48">
        <v>0</v>
      </c>
      <c r="N82" s="48">
        <v>0</v>
      </c>
      <c r="O82" s="48">
        <v>1007634975.6223291</v>
      </c>
    </row>
  </sheetData>
  <pageMargins left="0.75" right="0.75" top="1" bottom="1" header="0.5" footer="0.5"/>
  <pageSetup paperSize="9" scale="4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EDB2-CBF3-4346-9B7F-14AA6B2976BA}">
  <sheetPr>
    <pageSetUpPr fitToPage="1"/>
  </sheetPr>
  <dimension ref="B1:O82"/>
  <sheetViews>
    <sheetView showGridLines="0" topLeftCell="B59" zoomScale="86" zoomScaleNormal="86" workbookViewId="0">
      <selection activeCell="O82" sqref="O82"/>
    </sheetView>
  </sheetViews>
  <sheetFormatPr defaultColWidth="9.1796875" defaultRowHeight="10" x14ac:dyDescent="0.25"/>
  <cols>
    <col min="1" max="1" width="2.81640625" style="33" customWidth="1"/>
    <col min="2" max="2" width="47" style="33" customWidth="1"/>
    <col min="3" max="3" width="18.1796875" style="19" customWidth="1"/>
    <col min="4" max="4" width="16.26953125" style="19" customWidth="1"/>
    <col min="5" max="5" width="14.453125" style="19" customWidth="1"/>
    <col min="6" max="6" width="15.7265625" style="19" customWidth="1"/>
    <col min="7" max="8" width="16.54296875" style="19" customWidth="1"/>
    <col min="9" max="9" width="13.81640625" style="19" customWidth="1"/>
    <col min="10" max="10" width="17.26953125" style="19" customWidth="1"/>
    <col min="11" max="11" width="14.54296875" style="19" customWidth="1"/>
    <col min="12" max="12" width="12.81640625" style="19" customWidth="1"/>
    <col min="13" max="13" width="14" style="19" customWidth="1"/>
    <col min="14" max="14" width="14.54296875" style="19" customWidth="1"/>
    <col min="15" max="15" width="15.7265625" style="19" customWidth="1"/>
    <col min="16" max="16" width="2.81640625" style="33" customWidth="1"/>
    <col min="17" max="16384" width="9.1796875" style="33"/>
  </cols>
  <sheetData>
    <row r="1" spans="2:15" ht="10.5" x14ac:dyDescent="0.25">
      <c r="B1" s="41" t="s">
        <v>39</v>
      </c>
      <c r="C1" s="18"/>
      <c r="D1" s="18"/>
      <c r="E1" s="18"/>
      <c r="F1" s="18"/>
      <c r="G1" s="18"/>
    </row>
    <row r="2" spans="2:15" ht="10.5" x14ac:dyDescent="0.25">
      <c r="B2" s="34" t="s">
        <v>46</v>
      </c>
      <c r="C2" s="20"/>
      <c r="D2" s="20"/>
    </row>
    <row r="5" spans="2:15" ht="10.5" x14ac:dyDescent="0.25">
      <c r="B5" s="49" t="s">
        <v>40</v>
      </c>
    </row>
    <row r="7" spans="2:15" ht="56.25" customHeight="1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15" ht="10.5" x14ac:dyDescent="0.25">
      <c r="B8" s="36" t="s">
        <v>3</v>
      </c>
      <c r="C8" s="1">
        <f>SUM(C9:C11)</f>
        <v>13629920750.980001</v>
      </c>
      <c r="D8" s="1">
        <f t="shared" ref="D8:N8" si="0">SUM(D9:D11)</f>
        <v>0</v>
      </c>
      <c r="E8" s="1">
        <f t="shared" si="0"/>
        <v>351549620.04999995</v>
      </c>
      <c r="F8" s="1">
        <f t="shared" si="0"/>
        <v>0</v>
      </c>
      <c r="G8" s="1">
        <f t="shared" si="0"/>
        <v>0</v>
      </c>
      <c r="H8" s="1">
        <f t="shared" si="0"/>
        <v>962284274.03999996</v>
      </c>
      <c r="I8" s="1">
        <f t="shared" si="0"/>
        <v>838596248.98000002</v>
      </c>
      <c r="J8" s="1">
        <f t="shared" si="0"/>
        <v>1431113048.0100002</v>
      </c>
      <c r="K8" s="1">
        <f t="shared" si="0"/>
        <v>3551683169.3800001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ref="O8:O36" si="1">SUM(C8:N8)</f>
        <v>20765147111.439999</v>
      </c>
    </row>
    <row r="9" spans="2:15" x14ac:dyDescent="0.2">
      <c r="B9" s="37" t="s">
        <v>21</v>
      </c>
      <c r="C9" s="3">
        <f>10517364853.02+820916485</f>
        <v>11338281338.02</v>
      </c>
      <c r="D9" s="3"/>
      <c r="E9" s="3">
        <v>262820834.81999999</v>
      </c>
      <c r="F9" s="3"/>
      <c r="G9" s="3"/>
      <c r="H9" s="3">
        <f>708526162.78+178332241</f>
        <v>886858403.77999997</v>
      </c>
      <c r="I9" s="3">
        <v>593320286.76999998</v>
      </c>
      <c r="J9" s="3">
        <v>1260406301.3100002</v>
      </c>
      <c r="K9" s="4">
        <v>2578953440.29</v>
      </c>
      <c r="L9" s="4"/>
      <c r="M9" s="4"/>
      <c r="N9" s="4"/>
      <c r="O9" s="16">
        <f t="shared" si="1"/>
        <v>16920640604.990002</v>
      </c>
    </row>
    <row r="10" spans="2:15" x14ac:dyDescent="0.2">
      <c r="B10" s="37" t="s">
        <v>23</v>
      </c>
      <c r="C10" s="3">
        <v>1895469101.0999999</v>
      </c>
      <c r="D10" s="3"/>
      <c r="E10" s="3">
        <v>72463382.219999999</v>
      </c>
      <c r="F10" s="3"/>
      <c r="G10" s="3"/>
      <c r="H10" s="3">
        <v>46773309.789999999</v>
      </c>
      <c r="I10" s="3">
        <v>161729042.27000001</v>
      </c>
      <c r="J10" s="3">
        <v>152796606.68000001</v>
      </c>
      <c r="K10" s="4">
        <v>948767932.98000002</v>
      </c>
      <c r="L10" s="4"/>
      <c r="M10" s="4"/>
      <c r="N10" s="4"/>
      <c r="O10" s="16">
        <f t="shared" si="1"/>
        <v>3277999375.04</v>
      </c>
    </row>
    <row r="11" spans="2:15" x14ac:dyDescent="0.2">
      <c r="B11" s="38" t="s">
        <v>22</v>
      </c>
      <c r="C11" s="3">
        <f>47746326.86+348423985</f>
        <v>396170311.86000001</v>
      </c>
      <c r="D11" s="3"/>
      <c r="E11" s="3">
        <v>16265403.01</v>
      </c>
      <c r="F11" s="3"/>
      <c r="G11" s="3"/>
      <c r="H11" s="3">
        <f>21429003.47+7223557</f>
        <v>28652560.469999999</v>
      </c>
      <c r="I11" s="3">
        <f>17873970.94+65672949</f>
        <v>83546919.939999998</v>
      </c>
      <c r="J11" s="3">
        <v>17910140.02</v>
      </c>
      <c r="K11" s="4">
        <v>23961796.109999999</v>
      </c>
      <c r="L11" s="4"/>
      <c r="M11" s="4"/>
      <c r="N11" s="4"/>
      <c r="O11" s="17">
        <f t="shared" si="1"/>
        <v>566507131.41000009</v>
      </c>
    </row>
    <row r="12" spans="2:15" ht="10.5" x14ac:dyDescent="0.25">
      <c r="B12" s="36" t="s">
        <v>4</v>
      </c>
      <c r="C12" s="1">
        <f t="shared" ref="C12:N12" si="2">SUM(C13:C15)</f>
        <v>0</v>
      </c>
      <c r="D12" s="1">
        <f t="shared" si="2"/>
        <v>0</v>
      </c>
      <c r="E12" s="1">
        <f t="shared" si="2"/>
        <v>0</v>
      </c>
      <c r="F12" s="1">
        <f t="shared" si="2"/>
        <v>0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2"/>
        <v>0</v>
      </c>
      <c r="K12" s="1">
        <f t="shared" si="2"/>
        <v>0</v>
      </c>
      <c r="L12" s="1">
        <f t="shared" si="2"/>
        <v>0</v>
      </c>
      <c r="M12" s="1">
        <f t="shared" si="2"/>
        <v>0</v>
      </c>
      <c r="N12" s="1">
        <f t="shared" si="2"/>
        <v>0</v>
      </c>
      <c r="O12" s="1">
        <f t="shared" si="1"/>
        <v>0</v>
      </c>
    </row>
    <row r="13" spans="2:15" x14ac:dyDescent="0.2">
      <c r="B13" s="37" t="s">
        <v>21</v>
      </c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  <c r="N13" s="4"/>
      <c r="O13" s="16">
        <f t="shared" si="1"/>
        <v>0</v>
      </c>
    </row>
    <row r="14" spans="2:15" x14ac:dyDescent="0.2">
      <c r="B14" s="37" t="s">
        <v>23</v>
      </c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4"/>
      <c r="O14" s="16">
        <f t="shared" si="1"/>
        <v>0</v>
      </c>
    </row>
    <row r="15" spans="2:15" x14ac:dyDescent="0.2">
      <c r="B15" s="38" t="s">
        <v>22</v>
      </c>
      <c r="C15" s="3"/>
      <c r="D15" s="3"/>
      <c r="E15" s="3"/>
      <c r="F15" s="3"/>
      <c r="G15" s="3"/>
      <c r="H15" s="3"/>
      <c r="I15" s="3"/>
      <c r="J15" s="3"/>
      <c r="K15" s="4"/>
      <c r="L15" s="4"/>
      <c r="M15" s="4"/>
      <c r="N15" s="4"/>
      <c r="O15" s="17">
        <f t="shared" si="1"/>
        <v>0</v>
      </c>
    </row>
    <row r="16" spans="2:15" ht="10.5" x14ac:dyDescent="0.25">
      <c r="B16" s="36" t="s">
        <v>5</v>
      </c>
      <c r="C16" s="1">
        <f t="shared" ref="C16:N16" si="3">SUM(C17:C19)</f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0</v>
      </c>
      <c r="I16" s="1">
        <f t="shared" si="3"/>
        <v>0</v>
      </c>
      <c r="J16" s="1">
        <f t="shared" si="3"/>
        <v>0</v>
      </c>
      <c r="K16" s="1">
        <f t="shared" si="3"/>
        <v>0</v>
      </c>
      <c r="L16" s="1">
        <f t="shared" si="3"/>
        <v>0</v>
      </c>
      <c r="M16" s="1">
        <f t="shared" si="3"/>
        <v>0</v>
      </c>
      <c r="N16" s="1">
        <f t="shared" si="3"/>
        <v>0</v>
      </c>
      <c r="O16" s="1">
        <f t="shared" si="1"/>
        <v>0</v>
      </c>
    </row>
    <row r="17" spans="2:15" x14ac:dyDescent="0.2">
      <c r="B17" s="37" t="s">
        <v>21</v>
      </c>
      <c r="C17" s="3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16">
        <f t="shared" si="1"/>
        <v>0</v>
      </c>
    </row>
    <row r="18" spans="2:15" x14ac:dyDescent="0.2">
      <c r="B18" s="37" t="s">
        <v>23</v>
      </c>
      <c r="C18" s="3"/>
      <c r="D18" s="3"/>
      <c r="E18" s="3"/>
      <c r="F18" s="3"/>
      <c r="G18" s="3"/>
      <c r="H18" s="3"/>
      <c r="I18" s="3"/>
      <c r="J18" s="3"/>
      <c r="K18" s="4"/>
      <c r="L18" s="4"/>
      <c r="M18" s="4"/>
      <c r="N18" s="4"/>
      <c r="O18" s="16">
        <f t="shared" si="1"/>
        <v>0</v>
      </c>
    </row>
    <row r="19" spans="2:15" x14ac:dyDescent="0.2">
      <c r="B19" s="38" t="s">
        <v>22</v>
      </c>
      <c r="C19" s="3"/>
      <c r="D19" s="3"/>
      <c r="E19" s="3"/>
      <c r="F19" s="3"/>
      <c r="G19" s="3"/>
      <c r="H19" s="3"/>
      <c r="I19" s="3"/>
      <c r="J19" s="3"/>
      <c r="K19" s="4"/>
      <c r="L19" s="4"/>
      <c r="M19" s="4"/>
      <c r="N19" s="4"/>
      <c r="O19" s="17">
        <f t="shared" si="1"/>
        <v>0</v>
      </c>
    </row>
    <row r="20" spans="2:15" ht="10.5" x14ac:dyDescent="0.25">
      <c r="B20" s="36" t="s">
        <v>6</v>
      </c>
      <c r="C20" s="1">
        <f t="shared" ref="C20:N20" si="4">SUM(C21:C23)</f>
        <v>290071222.11999995</v>
      </c>
      <c r="D20" s="1">
        <f t="shared" si="4"/>
        <v>0</v>
      </c>
      <c r="E20" s="1">
        <f t="shared" si="4"/>
        <v>17587151.579999998</v>
      </c>
      <c r="F20" s="1">
        <f t="shared" si="4"/>
        <v>0</v>
      </c>
      <c r="G20" s="1">
        <f t="shared" si="4"/>
        <v>0</v>
      </c>
      <c r="H20" s="1">
        <f t="shared" si="4"/>
        <v>0</v>
      </c>
      <c r="I20" s="1">
        <f t="shared" si="4"/>
        <v>52408548.710000001</v>
      </c>
      <c r="J20" s="1">
        <f t="shared" si="4"/>
        <v>48424931.949999996</v>
      </c>
      <c r="K20" s="1">
        <f t="shared" si="4"/>
        <v>155432036.80999997</v>
      </c>
      <c r="L20" s="1">
        <f t="shared" si="4"/>
        <v>0</v>
      </c>
      <c r="M20" s="1">
        <f t="shared" si="4"/>
        <v>0</v>
      </c>
      <c r="N20" s="1">
        <f t="shared" si="4"/>
        <v>0</v>
      </c>
      <c r="O20" s="1">
        <f t="shared" si="1"/>
        <v>563923891.16999984</v>
      </c>
    </row>
    <row r="21" spans="2:15" x14ac:dyDescent="0.2">
      <c r="B21" s="37" t="s">
        <v>21</v>
      </c>
      <c r="C21" s="3">
        <v>208330013.02999997</v>
      </c>
      <c r="D21" s="3"/>
      <c r="E21" s="3">
        <v>7947683.8799999999</v>
      </c>
      <c r="F21" s="3"/>
      <c r="G21" s="3"/>
      <c r="H21" s="3"/>
      <c r="I21" s="3">
        <v>12419677.240000002</v>
      </c>
      <c r="J21" s="3">
        <v>33190277.219999999</v>
      </c>
      <c r="K21" s="4">
        <v>66295757.599999994</v>
      </c>
      <c r="L21" s="4"/>
      <c r="M21" s="4"/>
      <c r="N21" s="4"/>
      <c r="O21" s="16">
        <f t="shared" si="1"/>
        <v>328183408.96999997</v>
      </c>
    </row>
    <row r="22" spans="2:15" x14ac:dyDescent="0.2">
      <c r="B22" s="37" t="s">
        <v>23</v>
      </c>
      <c r="C22" s="3">
        <v>79942893.950000003</v>
      </c>
      <c r="D22" s="3"/>
      <c r="E22" s="3">
        <v>4395907.55</v>
      </c>
      <c r="F22" s="3"/>
      <c r="G22" s="3"/>
      <c r="H22" s="3"/>
      <c r="I22" s="3">
        <v>27296130.899999999</v>
      </c>
      <c r="J22" s="3">
        <v>12361198.51</v>
      </c>
      <c r="K22" s="4">
        <v>84553523.239999995</v>
      </c>
      <c r="L22" s="4"/>
      <c r="M22" s="4"/>
      <c r="N22" s="4"/>
      <c r="O22" s="16">
        <f t="shared" si="1"/>
        <v>208549654.15000001</v>
      </c>
    </row>
    <row r="23" spans="2:15" x14ac:dyDescent="0.2">
      <c r="B23" s="38" t="s">
        <v>22</v>
      </c>
      <c r="C23" s="3">
        <v>1798315.14</v>
      </c>
      <c r="D23" s="3"/>
      <c r="E23" s="3">
        <v>5243560.1500000004</v>
      </c>
      <c r="F23" s="3"/>
      <c r="G23" s="3"/>
      <c r="H23" s="3"/>
      <c r="I23" s="3">
        <v>12692740.57</v>
      </c>
      <c r="J23" s="3">
        <v>2873456.22</v>
      </c>
      <c r="K23" s="4">
        <v>4582755.97</v>
      </c>
      <c r="L23" s="4"/>
      <c r="M23" s="4"/>
      <c r="N23" s="4"/>
      <c r="O23" s="17">
        <f t="shared" si="1"/>
        <v>27190828.049999997</v>
      </c>
    </row>
    <row r="24" spans="2:15" ht="10.5" x14ac:dyDescent="0.25">
      <c r="B24" s="36" t="s">
        <v>25</v>
      </c>
      <c r="C24" s="1">
        <f t="shared" ref="C24:N24" si="5">SUM(C25:C27)</f>
        <v>2764701284.46</v>
      </c>
      <c r="D24" s="1">
        <f t="shared" si="5"/>
        <v>0</v>
      </c>
      <c r="E24" s="1">
        <f t="shared" si="5"/>
        <v>9546319</v>
      </c>
      <c r="F24" s="1">
        <f t="shared" si="5"/>
        <v>0</v>
      </c>
      <c r="G24" s="1">
        <f t="shared" si="5"/>
        <v>0</v>
      </c>
      <c r="H24" s="1">
        <f t="shared" si="5"/>
        <v>10417255.16</v>
      </c>
      <c r="I24" s="1">
        <f t="shared" si="5"/>
        <v>174055031.88000003</v>
      </c>
      <c r="J24" s="1">
        <f t="shared" si="5"/>
        <v>397277848.98000002</v>
      </c>
      <c r="K24" s="1">
        <f t="shared" si="5"/>
        <v>1806991472.8600001</v>
      </c>
      <c r="L24" s="1">
        <f t="shared" si="5"/>
        <v>0</v>
      </c>
      <c r="M24" s="1">
        <f t="shared" si="5"/>
        <v>0</v>
      </c>
      <c r="N24" s="1">
        <f t="shared" si="5"/>
        <v>0</v>
      </c>
      <c r="O24" s="1">
        <f t="shared" si="1"/>
        <v>5162989212.3400002</v>
      </c>
    </row>
    <row r="25" spans="2:15" x14ac:dyDescent="0.2">
      <c r="B25" s="37" t="s">
        <v>21</v>
      </c>
      <c r="C25" s="3">
        <v>628933383.25999999</v>
      </c>
      <c r="D25" s="3"/>
      <c r="E25" s="3">
        <v>9546319</v>
      </c>
      <c r="F25" s="3"/>
      <c r="G25" s="3"/>
      <c r="H25" s="3">
        <v>6811002.1100000003</v>
      </c>
      <c r="I25" s="3">
        <v>84493491.480000004</v>
      </c>
      <c r="J25" s="3">
        <v>342409604.30000001</v>
      </c>
      <c r="K25" s="4">
        <v>524650749.47000003</v>
      </c>
      <c r="L25" s="4"/>
      <c r="M25" s="4"/>
      <c r="N25" s="4"/>
      <c r="O25" s="16">
        <f t="shared" si="1"/>
        <v>1596844549.6200001</v>
      </c>
    </row>
    <row r="26" spans="2:15" x14ac:dyDescent="0.2">
      <c r="B26" s="37" t="s">
        <v>23</v>
      </c>
      <c r="C26" s="3">
        <v>2115284774.53</v>
      </c>
      <c r="D26" s="3"/>
      <c r="E26" s="3"/>
      <c r="F26" s="3"/>
      <c r="G26" s="3"/>
      <c r="H26" s="3">
        <v>2694390.9</v>
      </c>
      <c r="I26" s="3">
        <v>65583953.25</v>
      </c>
      <c r="J26" s="3">
        <v>52632269.109999999</v>
      </c>
      <c r="K26" s="4">
        <v>1173527342.25</v>
      </c>
      <c r="L26" s="4"/>
      <c r="M26" s="4"/>
      <c r="N26" s="4"/>
      <c r="O26" s="16">
        <f t="shared" si="1"/>
        <v>3409722730.0400004</v>
      </c>
    </row>
    <row r="27" spans="2:15" x14ac:dyDescent="0.2">
      <c r="B27" s="38" t="s">
        <v>22</v>
      </c>
      <c r="C27" s="3">
        <v>20483126.669999998</v>
      </c>
      <c r="D27" s="3"/>
      <c r="E27" s="3"/>
      <c r="F27" s="3"/>
      <c r="G27" s="3"/>
      <c r="H27" s="3">
        <v>911862.15</v>
      </c>
      <c r="I27" s="3">
        <v>23977587.149999999</v>
      </c>
      <c r="J27" s="3">
        <v>2235975.5699999998</v>
      </c>
      <c r="K27" s="4">
        <v>108813381.14</v>
      </c>
      <c r="L27" s="4"/>
      <c r="M27" s="4"/>
      <c r="N27" s="4"/>
      <c r="O27" s="17">
        <f t="shared" si="1"/>
        <v>156421932.68000001</v>
      </c>
    </row>
    <row r="28" spans="2:15" ht="10.5" x14ac:dyDescent="0.25">
      <c r="B28" s="36" t="s">
        <v>26</v>
      </c>
      <c r="C28" s="1">
        <f t="shared" ref="C28:N28" si="6">SUM(C29:C31)</f>
        <v>0</v>
      </c>
      <c r="D28" s="1">
        <f t="shared" si="6"/>
        <v>0</v>
      </c>
      <c r="E28" s="1">
        <f t="shared" si="6"/>
        <v>0</v>
      </c>
      <c r="F28" s="1">
        <f t="shared" si="6"/>
        <v>0</v>
      </c>
      <c r="G28" s="1">
        <f t="shared" si="6"/>
        <v>0</v>
      </c>
      <c r="H28" s="1">
        <f t="shared" si="6"/>
        <v>0</v>
      </c>
      <c r="I28" s="1">
        <f t="shared" si="6"/>
        <v>0</v>
      </c>
      <c r="J28" s="1">
        <f t="shared" si="6"/>
        <v>0</v>
      </c>
      <c r="K28" s="1">
        <f t="shared" si="6"/>
        <v>0</v>
      </c>
      <c r="L28" s="1">
        <f t="shared" si="6"/>
        <v>0</v>
      </c>
      <c r="M28" s="1">
        <f t="shared" si="6"/>
        <v>0</v>
      </c>
      <c r="N28" s="1">
        <f t="shared" si="6"/>
        <v>0</v>
      </c>
      <c r="O28" s="1">
        <f t="shared" si="1"/>
        <v>0</v>
      </c>
    </row>
    <row r="29" spans="2:15" x14ac:dyDescent="0.2">
      <c r="B29" s="37" t="s">
        <v>21</v>
      </c>
      <c r="C29" s="3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16">
        <f t="shared" si="1"/>
        <v>0</v>
      </c>
    </row>
    <row r="30" spans="2:15" x14ac:dyDescent="0.2">
      <c r="B30" s="37" t="s">
        <v>23</v>
      </c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4"/>
      <c r="O30" s="16">
        <f t="shared" si="1"/>
        <v>0</v>
      </c>
    </row>
    <row r="31" spans="2:15" x14ac:dyDescent="0.2">
      <c r="B31" s="38" t="s">
        <v>22</v>
      </c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17">
        <f t="shared" si="1"/>
        <v>0</v>
      </c>
    </row>
    <row r="32" spans="2:15" ht="10.5" x14ac:dyDescent="0.25">
      <c r="B32" s="36" t="s">
        <v>7</v>
      </c>
      <c r="C32" s="1">
        <f t="shared" ref="C32:N32" si="7">SUM(C33:C35)</f>
        <v>0</v>
      </c>
      <c r="D32" s="1">
        <f t="shared" si="7"/>
        <v>0</v>
      </c>
      <c r="E32" s="1">
        <f t="shared" si="7"/>
        <v>0</v>
      </c>
      <c r="F32" s="1">
        <f t="shared" si="7"/>
        <v>0</v>
      </c>
      <c r="G32" s="1">
        <f t="shared" si="7"/>
        <v>0</v>
      </c>
      <c r="H32" s="1">
        <f t="shared" si="7"/>
        <v>0</v>
      </c>
      <c r="I32" s="1">
        <f t="shared" si="7"/>
        <v>0</v>
      </c>
      <c r="J32" s="1">
        <f t="shared" si="7"/>
        <v>0</v>
      </c>
      <c r="K32" s="1">
        <f t="shared" si="7"/>
        <v>0</v>
      </c>
      <c r="L32" s="1">
        <f t="shared" si="7"/>
        <v>0</v>
      </c>
      <c r="M32" s="1">
        <f t="shared" si="7"/>
        <v>0</v>
      </c>
      <c r="N32" s="1">
        <f t="shared" si="7"/>
        <v>0</v>
      </c>
      <c r="O32" s="1">
        <f t="shared" si="1"/>
        <v>0</v>
      </c>
    </row>
    <row r="33" spans="2:15" x14ac:dyDescent="0.2">
      <c r="B33" s="37" t="s">
        <v>21</v>
      </c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16">
        <f t="shared" si="1"/>
        <v>0</v>
      </c>
    </row>
    <row r="34" spans="2:15" x14ac:dyDescent="0.2">
      <c r="B34" s="37" t="s">
        <v>23</v>
      </c>
      <c r="C34" s="3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16">
        <f t="shared" si="1"/>
        <v>0</v>
      </c>
    </row>
    <row r="35" spans="2:15" x14ac:dyDescent="0.2">
      <c r="B35" s="38" t="s">
        <v>22</v>
      </c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17">
        <f t="shared" si="1"/>
        <v>0</v>
      </c>
    </row>
    <row r="36" spans="2:15" ht="11" thickBot="1" x14ac:dyDescent="0.3">
      <c r="B36" s="39" t="s">
        <v>2</v>
      </c>
      <c r="C36" s="6">
        <f>SUM(C32,C28,C24,C20,C16,C12,C8)</f>
        <v>16684693257.560001</v>
      </c>
      <c r="D36" s="6">
        <f t="shared" ref="D36:N36" si="8">SUM(D32,D28,D24,D20,D16,D12,D8)</f>
        <v>0</v>
      </c>
      <c r="E36" s="6">
        <f t="shared" si="8"/>
        <v>378683090.62999994</v>
      </c>
      <c r="F36" s="6">
        <f t="shared" si="8"/>
        <v>0</v>
      </c>
      <c r="G36" s="6">
        <f t="shared" si="8"/>
        <v>0</v>
      </c>
      <c r="H36" s="6">
        <f t="shared" si="8"/>
        <v>972701529.19999993</v>
      </c>
      <c r="I36" s="6">
        <f t="shared" si="8"/>
        <v>1065059829.5700001</v>
      </c>
      <c r="J36" s="6">
        <f t="shared" si="8"/>
        <v>1876815828.9400003</v>
      </c>
      <c r="K36" s="6">
        <f t="shared" si="8"/>
        <v>5514106679.0500002</v>
      </c>
      <c r="L36" s="6">
        <f>SUM(L32,L28,L24,L20,L16,L12,L8)</f>
        <v>0</v>
      </c>
      <c r="M36" s="6">
        <f t="shared" si="8"/>
        <v>0</v>
      </c>
      <c r="N36" s="6">
        <f t="shared" si="8"/>
        <v>0</v>
      </c>
      <c r="O36" s="7">
        <f t="shared" si="1"/>
        <v>26492060214.949997</v>
      </c>
    </row>
    <row r="37" spans="2:15" ht="11" thickTop="1" x14ac:dyDescent="0.25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0.5" x14ac:dyDescent="0.25"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ht="10.5" x14ac:dyDescent="0.2">
      <c r="B39" s="49" t="s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f>SUM(C39:N39)</f>
        <v>0</v>
      </c>
    </row>
    <row r="40" spans="2:15" x14ac:dyDescent="0.25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42" x14ac:dyDescent="0.25">
      <c r="B41" s="35" t="s">
        <v>0</v>
      </c>
      <c r="C41" s="21" t="s">
        <v>16</v>
      </c>
      <c r="D41" s="21" t="s">
        <v>17</v>
      </c>
      <c r="E41" s="21" t="s">
        <v>27</v>
      </c>
      <c r="F41" s="21" t="s">
        <v>28</v>
      </c>
      <c r="G41" s="21" t="s">
        <v>18</v>
      </c>
      <c r="H41" s="21" t="s">
        <v>19</v>
      </c>
      <c r="I41" s="21" t="s">
        <v>12</v>
      </c>
      <c r="J41" s="21" t="s">
        <v>13</v>
      </c>
      <c r="K41" s="21" t="s">
        <v>15</v>
      </c>
      <c r="L41" s="21" t="s">
        <v>14</v>
      </c>
      <c r="M41" s="21" t="s">
        <v>29</v>
      </c>
      <c r="N41" s="21" t="s">
        <v>1</v>
      </c>
      <c r="O41" s="22" t="s">
        <v>2</v>
      </c>
    </row>
    <row r="42" spans="2:15" ht="10.5" x14ac:dyDescent="0.25">
      <c r="B42" s="36" t="s">
        <v>36</v>
      </c>
      <c r="C42" s="1">
        <f t="shared" ref="C42:N42" si="9">SUM(C43:C45)</f>
        <v>0</v>
      </c>
      <c r="D42" s="1">
        <f t="shared" si="9"/>
        <v>0</v>
      </c>
      <c r="E42" s="1">
        <f t="shared" si="9"/>
        <v>0</v>
      </c>
      <c r="F42" s="1">
        <f t="shared" si="9"/>
        <v>0</v>
      </c>
      <c r="G42" s="1">
        <f t="shared" si="9"/>
        <v>0</v>
      </c>
      <c r="H42" s="1">
        <f t="shared" si="9"/>
        <v>0</v>
      </c>
      <c r="I42" s="1">
        <f t="shared" si="9"/>
        <v>0</v>
      </c>
      <c r="J42" s="1">
        <f t="shared" si="9"/>
        <v>0</v>
      </c>
      <c r="K42" s="1">
        <f t="shared" si="9"/>
        <v>0</v>
      </c>
      <c r="L42" s="1">
        <f t="shared" si="9"/>
        <v>0</v>
      </c>
      <c r="M42" s="1">
        <f t="shared" si="9"/>
        <v>0</v>
      </c>
      <c r="N42" s="1">
        <f t="shared" si="9"/>
        <v>0</v>
      </c>
      <c r="O42" s="1">
        <f>SUM(C42:N42)</f>
        <v>0</v>
      </c>
    </row>
    <row r="43" spans="2:15" x14ac:dyDescent="0.2">
      <c r="B43" s="37" t="s">
        <v>21</v>
      </c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16">
        <f>SUM(C43:N43)</f>
        <v>0</v>
      </c>
    </row>
    <row r="44" spans="2:15" x14ac:dyDescent="0.2">
      <c r="B44" s="37" t="s">
        <v>23</v>
      </c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16">
        <f>SUM(C44:N44)</f>
        <v>0</v>
      </c>
    </row>
    <row r="45" spans="2:15" x14ac:dyDescent="0.2">
      <c r="B45" s="38" t="s">
        <v>22</v>
      </c>
      <c r="C45" s="12"/>
      <c r="D45" s="12"/>
      <c r="E45" s="12"/>
      <c r="F45" s="12"/>
      <c r="G45" s="12"/>
      <c r="H45" s="12"/>
      <c r="I45" s="12"/>
      <c r="J45" s="12"/>
      <c r="K45" s="13"/>
      <c r="L45" s="13"/>
      <c r="M45" s="13"/>
      <c r="N45" s="13"/>
      <c r="O45" s="17">
        <f>SUM(C45:N45)</f>
        <v>0</v>
      </c>
    </row>
    <row r="46" spans="2:15" x14ac:dyDescent="0.2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ht="10.5" x14ac:dyDescent="0.2">
      <c r="B48" s="49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f>SUM(C48:N48)</f>
        <v>0</v>
      </c>
    </row>
    <row r="49" spans="2:15" ht="10.5" x14ac:dyDescent="0.25">
      <c r="B49" s="4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2:15" ht="42" x14ac:dyDescent="0.25">
      <c r="B50" s="35" t="s">
        <v>30</v>
      </c>
      <c r="C50" s="21" t="s">
        <v>16</v>
      </c>
      <c r="D50" s="21" t="s">
        <v>17</v>
      </c>
      <c r="E50" s="21" t="s">
        <v>27</v>
      </c>
      <c r="F50" s="21" t="s">
        <v>28</v>
      </c>
      <c r="G50" s="21" t="s">
        <v>18</v>
      </c>
      <c r="H50" s="21" t="s">
        <v>19</v>
      </c>
      <c r="I50" s="21" t="s">
        <v>12</v>
      </c>
      <c r="J50" s="21" t="s">
        <v>13</v>
      </c>
      <c r="K50" s="21" t="s">
        <v>15</v>
      </c>
      <c r="L50" s="21" t="s">
        <v>14</v>
      </c>
      <c r="M50" s="21" t="s">
        <v>29</v>
      </c>
      <c r="N50" s="21" t="s">
        <v>1</v>
      </c>
      <c r="O50" s="22" t="s">
        <v>2</v>
      </c>
    </row>
    <row r="51" spans="2:15" ht="10.5" x14ac:dyDescent="0.25">
      <c r="B51" s="36" t="s">
        <v>31</v>
      </c>
      <c r="C51" s="1">
        <f t="shared" ref="C51:N51" si="10">SUM(C52:C54)</f>
        <v>72525</v>
      </c>
      <c r="D51" s="1">
        <f t="shared" si="10"/>
        <v>0</v>
      </c>
      <c r="E51" s="1">
        <f t="shared" si="10"/>
        <v>400</v>
      </c>
      <c r="F51" s="1">
        <f t="shared" si="10"/>
        <v>0</v>
      </c>
      <c r="G51" s="1">
        <f t="shared" si="10"/>
        <v>0</v>
      </c>
      <c r="H51" s="1">
        <f t="shared" si="10"/>
        <v>30731</v>
      </c>
      <c r="I51" s="1">
        <f t="shared" si="10"/>
        <v>11102</v>
      </c>
      <c r="J51" s="1">
        <f t="shared" si="10"/>
        <v>1481</v>
      </c>
      <c r="K51" s="1">
        <f t="shared" si="10"/>
        <v>2617</v>
      </c>
      <c r="L51" s="1">
        <f t="shared" si="10"/>
        <v>0</v>
      </c>
      <c r="M51" s="1">
        <f t="shared" si="10"/>
        <v>0</v>
      </c>
      <c r="N51" s="1">
        <f t="shared" si="10"/>
        <v>0</v>
      </c>
      <c r="O51" s="1">
        <f>SUM(C51:N51)</f>
        <v>118856</v>
      </c>
    </row>
    <row r="52" spans="2:15" x14ac:dyDescent="0.2">
      <c r="B52" s="37" t="s">
        <v>21</v>
      </c>
      <c r="C52" s="3">
        <f>19972+50492</f>
        <v>70464</v>
      </c>
      <c r="D52" s="3"/>
      <c r="E52" s="3">
        <v>335</v>
      </c>
      <c r="F52" s="3"/>
      <c r="G52" s="3"/>
      <c r="H52" s="3">
        <f>16258+13932</f>
        <v>30190</v>
      </c>
      <c r="I52" s="3">
        <f>2302+8480</f>
        <v>10782</v>
      </c>
      <c r="J52" s="3">
        <v>1305</v>
      </c>
      <c r="K52" s="4">
        <v>2064</v>
      </c>
      <c r="L52" s="4"/>
      <c r="M52" s="4"/>
      <c r="N52" s="4"/>
      <c r="O52" s="16">
        <f>SUM(C52:N52)</f>
        <v>115140</v>
      </c>
    </row>
    <row r="53" spans="2:15" x14ac:dyDescent="0.2">
      <c r="B53" s="37" t="s">
        <v>23</v>
      </c>
      <c r="C53" s="3">
        <v>1938</v>
      </c>
      <c r="D53" s="3"/>
      <c r="E53" s="3">
        <v>38</v>
      </c>
      <c r="F53" s="3"/>
      <c r="G53" s="3"/>
      <c r="H53" s="3">
        <v>379</v>
      </c>
      <c r="I53" s="3">
        <v>250</v>
      </c>
      <c r="J53" s="3">
        <v>137</v>
      </c>
      <c r="K53" s="4">
        <v>512</v>
      </c>
      <c r="L53" s="4"/>
      <c r="M53" s="4"/>
      <c r="N53" s="4"/>
      <c r="O53" s="16">
        <f>SUM(C53:N53)</f>
        <v>3254</v>
      </c>
    </row>
    <row r="54" spans="2:15" x14ac:dyDescent="0.2">
      <c r="B54" s="38" t="s">
        <v>22</v>
      </c>
      <c r="C54" s="12">
        <v>123</v>
      </c>
      <c r="D54" s="12"/>
      <c r="E54" s="12">
        <v>27</v>
      </c>
      <c r="F54" s="12"/>
      <c r="G54" s="12"/>
      <c r="H54" s="12">
        <v>162</v>
      </c>
      <c r="I54" s="12">
        <v>70</v>
      </c>
      <c r="J54" s="12">
        <v>39</v>
      </c>
      <c r="K54" s="13">
        <v>41</v>
      </c>
      <c r="L54" s="13"/>
      <c r="M54" s="13"/>
      <c r="N54" s="13"/>
      <c r="O54" s="17">
        <f>SUM(C54:N54)</f>
        <v>462</v>
      </c>
    </row>
    <row r="55" spans="2:15" ht="10.5" x14ac:dyDescent="0.25">
      <c r="B55" s="4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2:15" ht="10.5" x14ac:dyDescent="0.25">
      <c r="B56" s="41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2:15" ht="10.5" x14ac:dyDescent="0.25">
      <c r="B57" s="49" t="s">
        <v>41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4"/>
    </row>
    <row r="58" spans="2:15" ht="10.5" x14ac:dyDescent="0.25">
      <c r="B58" s="4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2:15" ht="42" x14ac:dyDescent="0.25">
      <c r="B59" s="35" t="s">
        <v>9</v>
      </c>
      <c r="C59" s="21" t="s">
        <v>16</v>
      </c>
      <c r="D59" s="21" t="s">
        <v>17</v>
      </c>
      <c r="E59" s="21" t="s">
        <v>27</v>
      </c>
      <c r="F59" s="21" t="s">
        <v>28</v>
      </c>
      <c r="G59" s="21" t="s">
        <v>18</v>
      </c>
      <c r="H59" s="21" t="s">
        <v>19</v>
      </c>
      <c r="I59" s="21" t="s">
        <v>12</v>
      </c>
      <c r="J59" s="21" t="s">
        <v>13</v>
      </c>
      <c r="K59" s="21" t="s">
        <v>15</v>
      </c>
      <c r="L59" s="21" t="s">
        <v>14</v>
      </c>
      <c r="M59" s="21" t="s">
        <v>29</v>
      </c>
      <c r="N59" s="21" t="s">
        <v>1</v>
      </c>
      <c r="O59" s="22" t="s">
        <v>2</v>
      </c>
    </row>
    <row r="60" spans="2:15" ht="10.5" x14ac:dyDescent="0.25">
      <c r="B60" s="3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</row>
    <row r="61" spans="2:15" ht="10.5" x14ac:dyDescent="0.25">
      <c r="B61" s="43" t="s">
        <v>33</v>
      </c>
      <c r="C61" s="9">
        <f>SUM(C62,C66)</f>
        <v>975269634.93000007</v>
      </c>
      <c r="D61" s="9">
        <f t="shared" ref="D61:N61" si="11">SUM(D62,D66)</f>
        <v>0</v>
      </c>
      <c r="E61" s="9">
        <f t="shared" si="11"/>
        <v>29682929.629999999</v>
      </c>
      <c r="F61" s="9">
        <f t="shared" si="11"/>
        <v>0</v>
      </c>
      <c r="G61" s="9">
        <f t="shared" si="11"/>
        <v>0</v>
      </c>
      <c r="H61" s="9">
        <f t="shared" si="11"/>
        <v>73881396.310000002</v>
      </c>
      <c r="I61" s="9">
        <f t="shared" si="11"/>
        <v>56955286.649999999</v>
      </c>
      <c r="J61" s="9">
        <f t="shared" si="11"/>
        <v>40707965</v>
      </c>
      <c r="K61" s="9">
        <f t="shared" si="11"/>
        <v>98525865.319999993</v>
      </c>
      <c r="L61" s="9">
        <f t="shared" si="11"/>
        <v>0</v>
      </c>
      <c r="M61" s="9">
        <f t="shared" si="11"/>
        <v>0</v>
      </c>
      <c r="N61" s="9">
        <f t="shared" si="11"/>
        <v>0</v>
      </c>
      <c r="O61" s="10">
        <f t="shared" ref="O61:O69" si="12">SUM(C61:N61)</f>
        <v>1275023077.8400002</v>
      </c>
    </row>
    <row r="62" spans="2:15" ht="10.5" x14ac:dyDescent="0.25">
      <c r="B62" s="36" t="s">
        <v>34</v>
      </c>
      <c r="C62" s="1">
        <f t="shared" ref="C62:N62" si="13">SUM(C63:C65)</f>
        <v>877438218.61000001</v>
      </c>
      <c r="D62" s="1">
        <f t="shared" si="13"/>
        <v>0</v>
      </c>
      <c r="E62" s="1">
        <f t="shared" si="13"/>
        <v>28595764.300000001</v>
      </c>
      <c r="F62" s="1">
        <f t="shared" si="13"/>
        <v>0</v>
      </c>
      <c r="G62" s="1">
        <f t="shared" si="13"/>
        <v>0</v>
      </c>
      <c r="H62" s="1">
        <f t="shared" si="13"/>
        <v>28350101.119999997</v>
      </c>
      <c r="I62" s="1">
        <f t="shared" si="13"/>
        <v>34175123.049999997</v>
      </c>
      <c r="J62" s="1">
        <f t="shared" si="13"/>
        <v>40707965</v>
      </c>
      <c r="K62" s="1">
        <f t="shared" si="13"/>
        <v>98525865.319999993</v>
      </c>
      <c r="L62" s="1">
        <f t="shared" si="13"/>
        <v>0</v>
      </c>
      <c r="M62" s="1">
        <f t="shared" si="13"/>
        <v>0</v>
      </c>
      <c r="N62" s="1">
        <f t="shared" si="13"/>
        <v>0</v>
      </c>
      <c r="O62" s="11">
        <f t="shared" si="12"/>
        <v>1107793037.3999999</v>
      </c>
    </row>
    <row r="63" spans="2:15" x14ac:dyDescent="0.2">
      <c r="B63" s="37" t="s">
        <v>21</v>
      </c>
      <c r="C63" s="3">
        <f>750515848.77+22925586</f>
        <v>773441434.76999998</v>
      </c>
      <c r="D63" s="3"/>
      <c r="E63" s="3">
        <v>28595501.710000001</v>
      </c>
      <c r="F63" s="3"/>
      <c r="G63" s="3"/>
      <c r="H63" s="3">
        <f>14767053.76+10770242</f>
        <v>25537295.759999998</v>
      </c>
      <c r="I63" s="3">
        <v>17227018.719999999</v>
      </c>
      <c r="J63" s="3">
        <v>39669279</v>
      </c>
      <c r="K63" s="4">
        <v>57592505.189999998</v>
      </c>
      <c r="L63" s="4"/>
      <c r="M63" s="4"/>
      <c r="N63" s="4"/>
      <c r="O63" s="5">
        <f t="shared" si="12"/>
        <v>942063035.1500001</v>
      </c>
    </row>
    <row r="64" spans="2:15" x14ac:dyDescent="0.2">
      <c r="B64" s="37" t="s">
        <v>23</v>
      </c>
      <c r="C64" s="3">
        <v>95822060.840000004</v>
      </c>
      <c r="D64" s="3"/>
      <c r="E64" s="3">
        <v>79.05</v>
      </c>
      <c r="F64" s="3"/>
      <c r="G64" s="3"/>
      <c r="H64" s="3">
        <v>1175046.3600000001</v>
      </c>
      <c r="I64" s="3">
        <v>15328784.33</v>
      </c>
      <c r="J64" s="3">
        <v>1038686</v>
      </c>
      <c r="K64" s="4">
        <v>40933360.130000003</v>
      </c>
      <c r="L64" s="4"/>
      <c r="M64" s="4"/>
      <c r="N64" s="4"/>
      <c r="O64" s="5">
        <f t="shared" si="12"/>
        <v>154298016.71000001</v>
      </c>
    </row>
    <row r="65" spans="2:15" x14ac:dyDescent="0.2">
      <c r="B65" s="38" t="s">
        <v>22</v>
      </c>
      <c r="C65" s="12">
        <f>220000+7954723</f>
        <v>8174723</v>
      </c>
      <c r="D65" s="12"/>
      <c r="E65" s="12">
        <v>183.54</v>
      </c>
      <c r="F65" s="12"/>
      <c r="G65" s="12"/>
      <c r="H65" s="12">
        <f>36000+1601759</f>
        <v>1637759</v>
      </c>
      <c r="I65" s="12">
        <v>1619320</v>
      </c>
      <c r="J65" s="12"/>
      <c r="K65" s="13"/>
      <c r="L65" s="13"/>
      <c r="M65" s="13"/>
      <c r="N65" s="13"/>
      <c r="O65" s="14">
        <f t="shared" si="12"/>
        <v>11431985.539999999</v>
      </c>
    </row>
    <row r="66" spans="2:15" ht="10.5" x14ac:dyDescent="0.25">
      <c r="B66" s="36" t="s">
        <v>35</v>
      </c>
      <c r="C66" s="15">
        <f t="shared" ref="C66:N66" si="14">SUM(C67:C69)</f>
        <v>97831416.320000008</v>
      </c>
      <c r="D66" s="15">
        <f t="shared" si="14"/>
        <v>0</v>
      </c>
      <c r="E66" s="15">
        <f t="shared" si="14"/>
        <v>1087165.3299999998</v>
      </c>
      <c r="F66" s="15">
        <f t="shared" si="14"/>
        <v>0</v>
      </c>
      <c r="G66" s="15">
        <f t="shared" si="14"/>
        <v>0</v>
      </c>
      <c r="H66" s="15">
        <f t="shared" si="14"/>
        <v>45531295.189999998</v>
      </c>
      <c r="I66" s="15">
        <f t="shared" si="14"/>
        <v>22780163.600000001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2">
        <f t="shared" si="12"/>
        <v>167230040.44</v>
      </c>
    </row>
    <row r="67" spans="2:15" x14ac:dyDescent="0.2">
      <c r="B67" s="37" t="s">
        <v>21</v>
      </c>
      <c r="C67" s="3">
        <f>36803499.52+24343031</f>
        <v>61146530.520000003</v>
      </c>
      <c r="D67" s="3"/>
      <c r="E67" s="3">
        <v>741154.28</v>
      </c>
      <c r="F67" s="3"/>
      <c r="G67" s="3"/>
      <c r="H67" s="3">
        <f>27121778.75+15262933</f>
        <v>42384711.75</v>
      </c>
      <c r="I67" s="3">
        <v>10977291.880000001</v>
      </c>
      <c r="J67" s="3"/>
      <c r="K67" s="4"/>
      <c r="L67" s="4"/>
      <c r="M67" s="4"/>
      <c r="N67" s="4"/>
      <c r="O67" s="5">
        <f t="shared" si="12"/>
        <v>115249688.43000001</v>
      </c>
    </row>
    <row r="68" spans="2:15" x14ac:dyDescent="0.2">
      <c r="B68" s="37" t="s">
        <v>23</v>
      </c>
      <c r="C68" s="3">
        <v>7848513.8499999996</v>
      </c>
      <c r="D68" s="3"/>
      <c r="E68" s="3">
        <v>338294.12</v>
      </c>
      <c r="F68" s="3"/>
      <c r="G68" s="3"/>
      <c r="H68" s="3">
        <v>720523.62</v>
      </c>
      <c r="I68" s="3">
        <v>2100325.1800000002</v>
      </c>
      <c r="J68" s="3"/>
      <c r="K68" s="4"/>
      <c r="L68" s="4"/>
      <c r="M68" s="4"/>
      <c r="N68" s="4"/>
      <c r="O68" s="5">
        <f t="shared" si="12"/>
        <v>11007656.77</v>
      </c>
    </row>
    <row r="69" spans="2:15" x14ac:dyDescent="0.2">
      <c r="B69" s="38" t="s">
        <v>22</v>
      </c>
      <c r="C69" s="12">
        <f>373660.95+28462711</f>
        <v>28836371.949999999</v>
      </c>
      <c r="D69" s="12"/>
      <c r="E69" s="12">
        <v>7716.93</v>
      </c>
      <c r="F69" s="12"/>
      <c r="G69" s="12"/>
      <c r="H69" s="12">
        <f>187421.82+2238638</f>
        <v>2426059.8199999998</v>
      </c>
      <c r="I69" s="12">
        <f>286071.54+9416475</f>
        <v>9702546.5399999991</v>
      </c>
      <c r="J69" s="12"/>
      <c r="K69" s="13"/>
      <c r="L69" s="13"/>
      <c r="M69" s="13"/>
      <c r="N69" s="13"/>
      <c r="O69" s="14">
        <f t="shared" si="12"/>
        <v>40972695.239999995</v>
      </c>
    </row>
    <row r="70" spans="2:15" x14ac:dyDescent="0.25">
      <c r="B70" s="44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2"/>
      <c r="O70" s="32"/>
    </row>
    <row r="71" spans="2:15" ht="10.5" x14ac:dyDescent="0.25">
      <c r="B71" s="43" t="s">
        <v>11</v>
      </c>
      <c r="C71" s="9">
        <f t="shared" ref="C71:N71" si="15">SUM(C72,C76)</f>
        <v>1189300932.1599998</v>
      </c>
      <c r="D71" s="9">
        <f t="shared" si="15"/>
        <v>0</v>
      </c>
      <c r="E71" s="9">
        <f t="shared" si="15"/>
        <v>9004105.8900000006</v>
      </c>
      <c r="F71" s="9">
        <f t="shared" si="15"/>
        <v>0</v>
      </c>
      <c r="G71" s="9">
        <f t="shared" si="15"/>
        <v>0</v>
      </c>
      <c r="H71" s="9">
        <f t="shared" si="15"/>
        <v>32367319.18</v>
      </c>
      <c r="I71" s="9">
        <f t="shared" si="15"/>
        <v>14638002.350000001</v>
      </c>
      <c r="J71" s="9">
        <f t="shared" si="15"/>
        <v>68652760.689999998</v>
      </c>
      <c r="K71" s="9">
        <f t="shared" si="15"/>
        <v>196039744.16000003</v>
      </c>
      <c r="L71" s="9">
        <f t="shared" si="15"/>
        <v>0</v>
      </c>
      <c r="M71" s="9">
        <f t="shared" si="15"/>
        <v>0</v>
      </c>
      <c r="N71" s="9">
        <f t="shared" si="15"/>
        <v>0</v>
      </c>
      <c r="O71" s="10">
        <f t="shared" ref="O71:O82" si="16">SUM(C71:N71)</f>
        <v>1510002864.4300001</v>
      </c>
    </row>
    <row r="72" spans="2:15" ht="10.5" x14ac:dyDescent="0.25">
      <c r="B72" s="36" t="s">
        <v>24</v>
      </c>
      <c r="C72" s="1">
        <f t="shared" ref="C72:N72" si="17">SUM(C73:C75)</f>
        <v>1104571836.5599999</v>
      </c>
      <c r="D72" s="1">
        <f t="shared" si="17"/>
        <v>0</v>
      </c>
      <c r="E72" s="1">
        <f t="shared" si="17"/>
        <v>9004105.8900000006</v>
      </c>
      <c r="F72" s="1">
        <f t="shared" si="17"/>
        <v>0</v>
      </c>
      <c r="G72" s="1">
        <f t="shared" si="17"/>
        <v>0</v>
      </c>
      <c r="H72" s="1">
        <f t="shared" si="17"/>
        <v>30128681.18</v>
      </c>
      <c r="I72" s="1">
        <f t="shared" si="17"/>
        <v>14638002.350000001</v>
      </c>
      <c r="J72" s="1">
        <f t="shared" si="17"/>
        <v>68652760.689999998</v>
      </c>
      <c r="K72" s="1">
        <f t="shared" si="17"/>
        <v>84925599.049999997</v>
      </c>
      <c r="L72" s="1">
        <f t="shared" si="17"/>
        <v>0</v>
      </c>
      <c r="M72" s="1">
        <f t="shared" si="17"/>
        <v>0</v>
      </c>
      <c r="N72" s="1">
        <f t="shared" si="17"/>
        <v>0</v>
      </c>
      <c r="O72" s="1">
        <f t="shared" si="16"/>
        <v>1311920985.72</v>
      </c>
    </row>
    <row r="73" spans="2:15" x14ac:dyDescent="0.2">
      <c r="B73" s="37" t="s">
        <v>21</v>
      </c>
      <c r="C73" s="3">
        <f>691781838.41+58062545</f>
        <v>749844383.40999997</v>
      </c>
      <c r="D73" s="3"/>
      <c r="E73" s="3">
        <v>6331174.5499999998</v>
      </c>
      <c r="F73" s="3"/>
      <c r="G73" s="3"/>
      <c r="H73" s="3">
        <f>17674271.93+8236529</f>
        <v>25910800.93</v>
      </c>
      <c r="I73" s="3">
        <v>8489862.8000000007</v>
      </c>
      <c r="J73" s="3">
        <v>66989933.719999999</v>
      </c>
      <c r="K73" s="4">
        <v>34407141.909999996</v>
      </c>
      <c r="L73" s="4"/>
      <c r="M73" s="4"/>
      <c r="N73" s="4"/>
      <c r="O73" s="16">
        <f t="shared" si="16"/>
        <v>891973297.31999981</v>
      </c>
    </row>
    <row r="74" spans="2:15" x14ac:dyDescent="0.2">
      <c r="B74" s="37" t="s">
        <v>23</v>
      </c>
      <c r="C74" s="3">
        <v>297087564.10000002</v>
      </c>
      <c r="D74" s="3"/>
      <c r="E74" s="3">
        <v>2642931.34</v>
      </c>
      <c r="F74" s="3"/>
      <c r="G74" s="3"/>
      <c r="H74" s="3">
        <v>3604459.09</v>
      </c>
      <c r="I74" s="3">
        <v>6133354.5499999998</v>
      </c>
      <c r="J74" s="3">
        <v>1662826.97</v>
      </c>
      <c r="K74" s="4">
        <v>50518457.140000001</v>
      </c>
      <c r="L74" s="4"/>
      <c r="M74" s="4"/>
      <c r="N74" s="4"/>
      <c r="O74" s="16">
        <f t="shared" si="16"/>
        <v>361649593.19</v>
      </c>
    </row>
    <row r="75" spans="2:15" x14ac:dyDescent="0.2">
      <c r="B75" s="38" t="s">
        <v>22</v>
      </c>
      <c r="C75" s="3">
        <f>21642081.05+35997808</f>
        <v>57639889.049999997</v>
      </c>
      <c r="D75" s="3"/>
      <c r="E75" s="3">
        <v>30000</v>
      </c>
      <c r="F75" s="3"/>
      <c r="G75" s="3"/>
      <c r="H75" s="3">
        <f>255587.16+357834</f>
        <v>613421.16</v>
      </c>
      <c r="I75" s="3">
        <v>14785</v>
      </c>
      <c r="J75" s="3"/>
      <c r="K75" s="4"/>
      <c r="L75" s="4"/>
      <c r="M75" s="4"/>
      <c r="N75" s="4"/>
      <c r="O75" s="17">
        <f t="shared" si="16"/>
        <v>58298095.209999993</v>
      </c>
    </row>
    <row r="76" spans="2:15" ht="10.5" x14ac:dyDescent="0.25">
      <c r="B76" s="36" t="s">
        <v>10</v>
      </c>
      <c r="C76" s="1">
        <f t="shared" ref="C76:N76" si="18">SUM(C77:C79)</f>
        <v>84729095.599999994</v>
      </c>
      <c r="D76" s="1">
        <f t="shared" si="18"/>
        <v>0</v>
      </c>
      <c r="E76" s="1">
        <f t="shared" si="18"/>
        <v>0</v>
      </c>
      <c r="F76" s="1">
        <f t="shared" si="18"/>
        <v>0</v>
      </c>
      <c r="G76" s="1">
        <f t="shared" si="18"/>
        <v>0</v>
      </c>
      <c r="H76" s="1">
        <f t="shared" si="18"/>
        <v>2238638</v>
      </c>
      <c r="I76" s="1">
        <f t="shared" si="18"/>
        <v>0</v>
      </c>
      <c r="J76" s="1">
        <f t="shared" si="18"/>
        <v>0</v>
      </c>
      <c r="K76" s="1">
        <f t="shared" si="18"/>
        <v>111114145.11000001</v>
      </c>
      <c r="L76" s="1">
        <f t="shared" si="18"/>
        <v>0</v>
      </c>
      <c r="M76" s="1">
        <f t="shared" si="18"/>
        <v>0</v>
      </c>
      <c r="N76" s="1">
        <f t="shared" si="18"/>
        <v>0</v>
      </c>
      <c r="O76" s="1">
        <f t="shared" si="16"/>
        <v>198081878.71000001</v>
      </c>
    </row>
    <row r="77" spans="2:15" x14ac:dyDescent="0.2">
      <c r="B77" s="37" t="s">
        <v>21</v>
      </c>
      <c r="C77" s="3">
        <v>43498221.799999997</v>
      </c>
      <c r="D77" s="3"/>
      <c r="E77" s="3"/>
      <c r="F77" s="3"/>
      <c r="G77" s="3"/>
      <c r="H77" s="3"/>
      <c r="I77" s="3"/>
      <c r="J77" s="3"/>
      <c r="K77" s="4">
        <v>76080527.230000004</v>
      </c>
      <c r="L77" s="4"/>
      <c r="M77" s="4"/>
      <c r="N77" s="4"/>
      <c r="O77" s="16">
        <f t="shared" si="16"/>
        <v>119578749.03</v>
      </c>
    </row>
    <row r="78" spans="2:15" x14ac:dyDescent="0.2">
      <c r="B78" s="37" t="s">
        <v>23</v>
      </c>
      <c r="C78" s="3">
        <v>12438934.73</v>
      </c>
      <c r="D78" s="3"/>
      <c r="E78" s="3"/>
      <c r="F78" s="3"/>
      <c r="G78" s="3"/>
      <c r="H78" s="3"/>
      <c r="I78" s="3"/>
      <c r="J78" s="3"/>
      <c r="K78" s="4">
        <v>30347722.510000002</v>
      </c>
      <c r="L78" s="4"/>
      <c r="M78" s="4"/>
      <c r="N78" s="4"/>
      <c r="O78" s="16">
        <f t="shared" si="16"/>
        <v>42786657.240000002</v>
      </c>
    </row>
    <row r="79" spans="2:15" x14ac:dyDescent="0.2">
      <c r="B79" s="38" t="s">
        <v>22</v>
      </c>
      <c r="C79" s="3">
        <f>329228.07+28462711</f>
        <v>28791939.07</v>
      </c>
      <c r="D79" s="3"/>
      <c r="E79" s="3"/>
      <c r="F79" s="3"/>
      <c r="G79" s="3"/>
      <c r="H79" s="3">
        <v>2238638</v>
      </c>
      <c r="I79" s="3">
        <v>0</v>
      </c>
      <c r="J79" s="3"/>
      <c r="K79" s="4">
        <v>4685895.37</v>
      </c>
      <c r="L79" s="4"/>
      <c r="M79" s="4"/>
      <c r="N79" s="4"/>
      <c r="O79" s="17">
        <f t="shared" si="16"/>
        <v>35716472.439999998</v>
      </c>
    </row>
    <row r="80" spans="2:15" ht="11" thickBot="1" x14ac:dyDescent="0.3">
      <c r="B80" s="39" t="s">
        <v>38</v>
      </c>
      <c r="C80" s="6">
        <f>C61-C71</f>
        <v>-214031297.22999978</v>
      </c>
      <c r="D80" s="6">
        <f t="shared" ref="D80:N80" si="19">D61-D71</f>
        <v>0</v>
      </c>
      <c r="E80" s="6">
        <f t="shared" si="19"/>
        <v>20678823.739999998</v>
      </c>
      <c r="F80" s="6">
        <f t="shared" si="19"/>
        <v>0</v>
      </c>
      <c r="G80" s="6">
        <f t="shared" si="19"/>
        <v>0</v>
      </c>
      <c r="H80" s="6">
        <f t="shared" si="19"/>
        <v>41514077.130000003</v>
      </c>
      <c r="I80" s="6">
        <f t="shared" si="19"/>
        <v>42317284.299999997</v>
      </c>
      <c r="J80" s="6">
        <f t="shared" si="19"/>
        <v>-27944795.689999998</v>
      </c>
      <c r="K80" s="6">
        <f t="shared" si="19"/>
        <v>-97513878.840000033</v>
      </c>
      <c r="L80" s="6">
        <f>L61-L71</f>
        <v>0</v>
      </c>
      <c r="M80" s="6">
        <f t="shared" si="19"/>
        <v>0</v>
      </c>
      <c r="N80" s="6">
        <f t="shared" si="19"/>
        <v>0</v>
      </c>
      <c r="O80" s="7">
        <f t="shared" si="16"/>
        <v>-234979786.58999979</v>
      </c>
    </row>
    <row r="81" spans="2:15" ht="10.5" thickTop="1" x14ac:dyDescent="0.25">
      <c r="B81" s="4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x14ac:dyDescent="0.25">
      <c r="B82" s="46" t="s">
        <v>32</v>
      </c>
      <c r="C82" s="48">
        <f>171401758.58+5355857</f>
        <v>176757615.58000001</v>
      </c>
      <c r="D82" s="48"/>
      <c r="E82" s="48">
        <v>1903851.78</v>
      </c>
      <c r="F82" s="48"/>
      <c r="G82" s="48"/>
      <c r="H82" s="48">
        <f>721453.31+22929</f>
        <v>744382.31</v>
      </c>
      <c r="I82" s="48">
        <f>5290504.23+133807</f>
        <v>5424311.2300000004</v>
      </c>
      <c r="J82" s="48">
        <v>9970560.1699999999</v>
      </c>
      <c r="K82" s="48">
        <v>28463025.370000001</v>
      </c>
      <c r="L82" s="48"/>
      <c r="M82" s="48"/>
      <c r="N82" s="48"/>
      <c r="O82" s="48">
        <f t="shared" si="16"/>
        <v>223263746.44</v>
      </c>
    </row>
  </sheetData>
  <pageMargins left="0.75" right="0.75" top="1" bottom="1" header="0.5" footer="0.5"/>
  <pageSetup paperSize="9" scale="44" orientation="landscape" r:id="rId1"/>
  <headerFooter alignWithMargins="0">
    <oddFooter>&amp;L_x000D_&amp;1#&amp;"Calibri"&amp;8&amp;K000000 This document has been classified as PROTECTED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598A6-CB61-48D6-80B4-E8DF8D863F07}">
  <sheetPr>
    <pageSetUpPr fitToPage="1"/>
  </sheetPr>
  <dimension ref="B1:O82"/>
  <sheetViews>
    <sheetView showGridLines="0" topLeftCell="C51" zoomScale="88" zoomScaleNormal="88" workbookViewId="0"/>
  </sheetViews>
  <sheetFormatPr defaultColWidth="9.26953125" defaultRowHeight="10" x14ac:dyDescent="0.25"/>
  <cols>
    <col min="1" max="1" width="2.7265625" style="33" customWidth="1"/>
    <col min="2" max="2" width="61.26953125" style="33" bestFit="1" customWidth="1"/>
    <col min="3" max="3" width="13" style="51" bestFit="1" customWidth="1"/>
    <col min="4" max="4" width="16.26953125" style="51" customWidth="1"/>
    <col min="5" max="5" width="14.453125" style="51" customWidth="1"/>
    <col min="6" max="6" width="15.7265625" style="51" customWidth="1"/>
    <col min="7" max="8" width="16.54296875" style="51" customWidth="1"/>
    <col min="9" max="9" width="13.7265625" style="51" customWidth="1"/>
    <col min="10" max="10" width="17.26953125" style="51" customWidth="1"/>
    <col min="11" max="11" width="11.7265625" style="51" bestFit="1" customWidth="1"/>
    <col min="12" max="12" width="12.7265625" style="51" customWidth="1"/>
    <col min="13" max="13" width="14" style="51" customWidth="1"/>
    <col min="14" max="14" width="14.54296875" style="51" customWidth="1"/>
    <col min="15" max="15" width="14.54296875" style="51" bestFit="1" customWidth="1"/>
    <col min="16" max="16" width="2.7265625" style="33" customWidth="1"/>
    <col min="17" max="16384" width="9.26953125" style="33"/>
  </cols>
  <sheetData>
    <row r="1" spans="2:15" ht="10.5" x14ac:dyDescent="0.25">
      <c r="B1" s="34" t="s">
        <v>39</v>
      </c>
      <c r="C1" s="50"/>
      <c r="D1" s="50"/>
      <c r="E1" s="50"/>
      <c r="F1" s="50"/>
      <c r="G1" s="50"/>
    </row>
    <row r="2" spans="2:15" ht="10.5" x14ac:dyDescent="0.25">
      <c r="B2" s="34" t="s">
        <v>47</v>
      </c>
      <c r="C2" s="52"/>
      <c r="D2" s="52"/>
    </row>
    <row r="5" spans="2:15" ht="10.5" x14ac:dyDescent="0.25">
      <c r="B5" s="34" t="s">
        <v>40</v>
      </c>
    </row>
    <row r="7" spans="2:15" ht="42" x14ac:dyDescent="0.25">
      <c r="B7" s="35" t="s">
        <v>0</v>
      </c>
      <c r="C7" s="53" t="s">
        <v>16</v>
      </c>
      <c r="D7" s="53" t="s">
        <v>17</v>
      </c>
      <c r="E7" s="53" t="s">
        <v>27</v>
      </c>
      <c r="F7" s="53" t="s">
        <v>28</v>
      </c>
      <c r="G7" s="53" t="s">
        <v>18</v>
      </c>
      <c r="H7" s="53" t="s">
        <v>20</v>
      </c>
      <c r="I7" s="53" t="s">
        <v>12</v>
      </c>
      <c r="J7" s="53" t="s">
        <v>13</v>
      </c>
      <c r="K7" s="53" t="s">
        <v>15</v>
      </c>
      <c r="L7" s="53" t="s">
        <v>14</v>
      </c>
      <c r="M7" s="53" t="s">
        <v>29</v>
      </c>
      <c r="N7" s="53" t="s">
        <v>1</v>
      </c>
      <c r="O7" s="54" t="s">
        <v>2</v>
      </c>
    </row>
    <row r="8" spans="2:15" ht="10.5" x14ac:dyDescent="0.25">
      <c r="B8" s="36" t="s">
        <v>3</v>
      </c>
      <c r="C8" s="55">
        <v>1818350625.0700057</v>
      </c>
      <c r="D8" s="55">
        <v>0</v>
      </c>
      <c r="E8" s="55">
        <v>7212081485.8099899</v>
      </c>
      <c r="F8" s="55">
        <v>0</v>
      </c>
      <c r="G8" s="55">
        <v>0</v>
      </c>
      <c r="H8" s="55">
        <v>0</v>
      </c>
      <c r="I8" s="55">
        <v>0</v>
      </c>
      <c r="J8" s="55">
        <v>2041735001.6300001</v>
      </c>
      <c r="K8" s="55">
        <v>0</v>
      </c>
      <c r="L8" s="55">
        <v>0</v>
      </c>
      <c r="M8" s="55">
        <v>0</v>
      </c>
      <c r="N8" s="55">
        <v>0</v>
      </c>
      <c r="O8" s="55">
        <v>11072167112.509995</v>
      </c>
    </row>
    <row r="9" spans="2:15" x14ac:dyDescent="0.2">
      <c r="B9" s="37" t="s">
        <v>21</v>
      </c>
      <c r="C9" s="56"/>
      <c r="D9" s="56"/>
      <c r="E9" s="56"/>
      <c r="F9" s="56"/>
      <c r="G9" s="56"/>
      <c r="H9" s="56"/>
      <c r="I9" s="146"/>
      <c r="J9" s="56"/>
      <c r="K9" s="57"/>
      <c r="L9" s="57"/>
      <c r="M9" s="57"/>
      <c r="N9" s="57"/>
      <c r="O9" s="58">
        <v>0</v>
      </c>
    </row>
    <row r="10" spans="2:15" x14ac:dyDescent="0.2">
      <c r="B10" s="37" t="s">
        <v>23</v>
      </c>
      <c r="C10" s="56">
        <v>1754436836.9900057</v>
      </c>
      <c r="D10" s="56"/>
      <c r="E10" s="56">
        <v>6573382737.559989</v>
      </c>
      <c r="F10" s="56"/>
      <c r="G10" s="56"/>
      <c r="H10" s="56"/>
      <c r="I10" s="56"/>
      <c r="J10" s="56">
        <v>1739934234.3499997</v>
      </c>
      <c r="K10" s="57"/>
      <c r="L10" s="57"/>
      <c r="M10" s="57"/>
      <c r="N10" s="57"/>
      <c r="O10" s="58">
        <v>10067753808.899994</v>
      </c>
    </row>
    <row r="11" spans="2:15" x14ac:dyDescent="0.2">
      <c r="B11" s="38" t="s">
        <v>22</v>
      </c>
      <c r="C11" s="56">
        <v>63913788.079999998</v>
      </c>
      <c r="D11" s="56"/>
      <c r="E11" s="56">
        <v>638698748.25000119</v>
      </c>
      <c r="F11" s="56"/>
      <c r="G11" s="56"/>
      <c r="H11" s="56"/>
      <c r="I11" s="56"/>
      <c r="J11" s="56">
        <v>301800767.28000045</v>
      </c>
      <c r="K11" s="57"/>
      <c r="L11" s="57"/>
      <c r="M11" s="57"/>
      <c r="N11" s="57"/>
      <c r="O11" s="59">
        <v>1004413303.6100017</v>
      </c>
    </row>
    <row r="12" spans="2:15" ht="10.5" x14ac:dyDescent="0.25">
      <c r="B12" s="36" t="s">
        <v>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</row>
    <row r="13" spans="2:15" x14ac:dyDescent="0.2">
      <c r="B13" s="37" t="s">
        <v>21</v>
      </c>
      <c r="C13" s="56"/>
      <c r="D13" s="56"/>
      <c r="E13" s="56"/>
      <c r="F13" s="56"/>
      <c r="G13" s="56"/>
      <c r="H13" s="56"/>
      <c r="I13" s="56"/>
      <c r="J13" s="56"/>
      <c r="K13" s="57"/>
      <c r="L13" s="57"/>
      <c r="M13" s="57"/>
      <c r="N13" s="57"/>
      <c r="O13" s="58">
        <v>0</v>
      </c>
    </row>
    <row r="14" spans="2:15" x14ac:dyDescent="0.2">
      <c r="B14" s="37" t="s">
        <v>23</v>
      </c>
      <c r="C14" s="56"/>
      <c r="D14" s="56"/>
      <c r="E14" s="56"/>
      <c r="F14" s="56"/>
      <c r="G14" s="56"/>
      <c r="H14" s="56"/>
      <c r="I14" s="56"/>
      <c r="J14" s="56"/>
      <c r="K14" s="57"/>
      <c r="L14" s="57"/>
      <c r="M14" s="57"/>
      <c r="N14" s="57"/>
      <c r="O14" s="58">
        <v>0</v>
      </c>
    </row>
    <row r="15" spans="2:15" x14ac:dyDescent="0.2">
      <c r="B15" s="38" t="s">
        <v>22</v>
      </c>
      <c r="C15" s="56"/>
      <c r="D15" s="56"/>
      <c r="E15" s="56"/>
      <c r="F15" s="56"/>
      <c r="G15" s="56"/>
      <c r="H15" s="56"/>
      <c r="I15" s="56"/>
      <c r="J15" s="56"/>
      <c r="K15" s="57"/>
      <c r="L15" s="57"/>
      <c r="M15" s="57"/>
      <c r="N15" s="57"/>
      <c r="O15" s="59">
        <v>0</v>
      </c>
    </row>
    <row r="16" spans="2:15" ht="10.5" x14ac:dyDescent="0.25">
      <c r="B16" s="36" t="s">
        <v>5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</row>
    <row r="17" spans="2:15" x14ac:dyDescent="0.2">
      <c r="B17" s="37" t="s">
        <v>21</v>
      </c>
      <c r="C17" s="56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>
        <v>0</v>
      </c>
    </row>
    <row r="18" spans="2:15" x14ac:dyDescent="0.2">
      <c r="B18" s="37" t="s">
        <v>23</v>
      </c>
      <c r="C18" s="56"/>
      <c r="D18" s="56"/>
      <c r="E18" s="56"/>
      <c r="F18" s="56"/>
      <c r="G18" s="56"/>
      <c r="H18" s="56"/>
      <c r="I18" s="56"/>
      <c r="J18" s="56"/>
      <c r="K18" s="57"/>
      <c r="L18" s="57"/>
      <c r="M18" s="57"/>
      <c r="N18" s="57"/>
      <c r="O18" s="58">
        <v>0</v>
      </c>
    </row>
    <row r="19" spans="2:15" x14ac:dyDescent="0.2">
      <c r="B19" s="38" t="s">
        <v>22</v>
      </c>
      <c r="C19" s="56"/>
      <c r="D19" s="56"/>
      <c r="E19" s="56"/>
      <c r="F19" s="56"/>
      <c r="G19" s="56"/>
      <c r="H19" s="56"/>
      <c r="I19" s="56"/>
      <c r="J19" s="56"/>
      <c r="K19" s="57"/>
      <c r="L19" s="57"/>
      <c r="M19" s="57"/>
      <c r="N19" s="57"/>
      <c r="O19" s="59">
        <v>0</v>
      </c>
    </row>
    <row r="20" spans="2:15" ht="10.5" x14ac:dyDescent="0.25">
      <c r="B20" s="36" t="s">
        <v>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</row>
    <row r="21" spans="2:15" x14ac:dyDescent="0.2">
      <c r="B21" s="37" t="s">
        <v>21</v>
      </c>
      <c r="C21" s="56"/>
      <c r="D21" s="56"/>
      <c r="E21" s="56"/>
      <c r="F21" s="56"/>
      <c r="G21" s="56"/>
      <c r="H21" s="56"/>
      <c r="I21" s="56"/>
      <c r="J21" s="56"/>
      <c r="K21" s="57"/>
      <c r="L21" s="57"/>
      <c r="M21" s="57"/>
      <c r="N21" s="57"/>
      <c r="O21" s="58">
        <v>0</v>
      </c>
    </row>
    <row r="22" spans="2:15" x14ac:dyDescent="0.2">
      <c r="B22" s="37" t="s">
        <v>23</v>
      </c>
      <c r="C22" s="56"/>
      <c r="D22" s="56"/>
      <c r="E22" s="56"/>
      <c r="F22" s="56"/>
      <c r="G22" s="56"/>
      <c r="H22" s="56"/>
      <c r="I22" s="56"/>
      <c r="J22" s="56"/>
      <c r="K22" s="57"/>
      <c r="L22" s="57"/>
      <c r="M22" s="57"/>
      <c r="N22" s="57"/>
      <c r="O22" s="58">
        <v>0</v>
      </c>
    </row>
    <row r="23" spans="2:15" x14ac:dyDescent="0.2">
      <c r="B23" s="38" t="s">
        <v>22</v>
      </c>
      <c r="C23" s="56"/>
      <c r="D23" s="56"/>
      <c r="E23" s="56"/>
      <c r="F23" s="56"/>
      <c r="G23" s="56"/>
      <c r="H23" s="56"/>
      <c r="I23" s="56"/>
      <c r="J23" s="56"/>
      <c r="K23" s="57"/>
      <c r="L23" s="57"/>
      <c r="M23" s="57"/>
      <c r="N23" s="57"/>
      <c r="O23" s="59">
        <v>0</v>
      </c>
    </row>
    <row r="24" spans="2:15" ht="10.5" x14ac:dyDescent="0.25">
      <c r="B24" s="36" t="s">
        <v>25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</row>
    <row r="25" spans="2:15" x14ac:dyDescent="0.2">
      <c r="B25" s="37" t="s">
        <v>21</v>
      </c>
      <c r="C25" s="56"/>
      <c r="D25" s="56"/>
      <c r="E25" s="56"/>
      <c r="F25" s="56"/>
      <c r="G25" s="56"/>
      <c r="H25" s="56"/>
      <c r="I25" s="56"/>
      <c r="J25" s="56"/>
      <c r="K25" s="57"/>
      <c r="L25" s="57"/>
      <c r="M25" s="57"/>
      <c r="N25" s="57"/>
      <c r="O25" s="58">
        <v>0</v>
      </c>
    </row>
    <row r="26" spans="2:15" x14ac:dyDescent="0.2">
      <c r="B26" s="37" t="s">
        <v>23</v>
      </c>
      <c r="C26" s="56"/>
      <c r="D26" s="56"/>
      <c r="E26" s="56"/>
      <c r="F26" s="56"/>
      <c r="G26" s="56"/>
      <c r="H26" s="56"/>
      <c r="I26" s="56"/>
      <c r="J26" s="56"/>
      <c r="K26" s="57"/>
      <c r="L26" s="57"/>
      <c r="M26" s="57"/>
      <c r="N26" s="57"/>
      <c r="O26" s="58">
        <v>0</v>
      </c>
    </row>
    <row r="27" spans="2:15" x14ac:dyDescent="0.2">
      <c r="B27" s="38" t="s">
        <v>22</v>
      </c>
      <c r="C27" s="56"/>
      <c r="D27" s="56"/>
      <c r="E27" s="56"/>
      <c r="F27" s="56"/>
      <c r="G27" s="56"/>
      <c r="H27" s="56"/>
      <c r="I27" s="56"/>
      <c r="J27" s="56"/>
      <c r="K27" s="57"/>
      <c r="L27" s="57"/>
      <c r="M27" s="57"/>
      <c r="N27" s="57"/>
      <c r="O27" s="59">
        <v>0</v>
      </c>
    </row>
    <row r="28" spans="2:15" ht="10.5" x14ac:dyDescent="0.25">
      <c r="B28" s="36" t="s">
        <v>26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</row>
    <row r="29" spans="2:15" x14ac:dyDescent="0.2">
      <c r="B29" s="37" t="s">
        <v>21</v>
      </c>
      <c r="C29" s="56"/>
      <c r="D29" s="56"/>
      <c r="E29" s="56"/>
      <c r="F29" s="56"/>
      <c r="G29" s="56"/>
      <c r="H29" s="56"/>
      <c r="I29" s="56"/>
      <c r="J29" s="56"/>
      <c r="K29" s="57"/>
      <c r="L29" s="57"/>
      <c r="M29" s="57"/>
      <c r="N29" s="57"/>
      <c r="O29" s="58">
        <v>0</v>
      </c>
    </row>
    <row r="30" spans="2:15" x14ac:dyDescent="0.2">
      <c r="B30" s="37" t="s">
        <v>23</v>
      </c>
      <c r="C30" s="56"/>
      <c r="D30" s="56"/>
      <c r="E30" s="56"/>
      <c r="F30" s="56"/>
      <c r="G30" s="56"/>
      <c r="H30" s="56"/>
      <c r="I30" s="56"/>
      <c r="J30" s="56"/>
      <c r="K30" s="57"/>
      <c r="L30" s="57"/>
      <c r="M30" s="57"/>
      <c r="N30" s="57"/>
      <c r="O30" s="58">
        <v>0</v>
      </c>
    </row>
    <row r="31" spans="2:15" x14ac:dyDescent="0.2">
      <c r="B31" s="38" t="s">
        <v>22</v>
      </c>
      <c r="C31" s="56"/>
      <c r="D31" s="56"/>
      <c r="E31" s="56"/>
      <c r="F31" s="56"/>
      <c r="G31" s="56"/>
      <c r="H31" s="56"/>
      <c r="I31" s="56"/>
      <c r="J31" s="56"/>
      <c r="K31" s="57"/>
      <c r="L31" s="57"/>
      <c r="M31" s="57"/>
      <c r="N31" s="57"/>
      <c r="O31" s="59">
        <v>0</v>
      </c>
    </row>
    <row r="32" spans="2:15" ht="10.5" x14ac:dyDescent="0.25">
      <c r="B32" s="36" t="s">
        <v>7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</row>
    <row r="33" spans="2:15" x14ac:dyDescent="0.2">
      <c r="B33" s="37" t="s">
        <v>21</v>
      </c>
      <c r="C33" s="56"/>
      <c r="D33" s="56"/>
      <c r="E33" s="56"/>
      <c r="F33" s="56"/>
      <c r="G33" s="56"/>
      <c r="H33" s="56"/>
      <c r="I33" s="56"/>
      <c r="J33" s="56"/>
      <c r="K33" s="57"/>
      <c r="L33" s="57"/>
      <c r="M33" s="57"/>
      <c r="N33" s="57"/>
      <c r="O33" s="58">
        <v>0</v>
      </c>
    </row>
    <row r="34" spans="2:15" x14ac:dyDescent="0.2">
      <c r="B34" s="37" t="s">
        <v>23</v>
      </c>
      <c r="C34" s="56"/>
      <c r="D34" s="56"/>
      <c r="E34" s="56"/>
      <c r="F34" s="56"/>
      <c r="G34" s="56"/>
      <c r="H34" s="56"/>
      <c r="I34" s="56"/>
      <c r="J34" s="56"/>
      <c r="K34" s="57"/>
      <c r="L34" s="57"/>
      <c r="M34" s="57"/>
      <c r="N34" s="57"/>
      <c r="O34" s="58">
        <v>0</v>
      </c>
    </row>
    <row r="35" spans="2:15" x14ac:dyDescent="0.2">
      <c r="B35" s="38" t="s">
        <v>22</v>
      </c>
      <c r="C35" s="56"/>
      <c r="D35" s="56"/>
      <c r="E35" s="56"/>
      <c r="F35" s="56"/>
      <c r="G35" s="56"/>
      <c r="H35" s="56"/>
      <c r="I35" s="56"/>
      <c r="J35" s="56"/>
      <c r="K35" s="57"/>
      <c r="L35" s="57"/>
      <c r="M35" s="57"/>
      <c r="N35" s="57"/>
      <c r="O35" s="59">
        <v>0</v>
      </c>
    </row>
    <row r="36" spans="2:15" ht="11" thickBot="1" x14ac:dyDescent="0.3">
      <c r="B36" s="39" t="s">
        <v>2</v>
      </c>
      <c r="C36" s="60">
        <v>1818350625.0700057</v>
      </c>
      <c r="D36" s="60">
        <v>0</v>
      </c>
      <c r="E36" s="60">
        <v>7212081485.8099899</v>
      </c>
      <c r="F36" s="60">
        <v>0</v>
      </c>
      <c r="G36" s="60">
        <v>0</v>
      </c>
      <c r="H36" s="60">
        <v>0</v>
      </c>
      <c r="I36" s="60">
        <v>0</v>
      </c>
      <c r="J36" s="60">
        <v>2041735001.6300001</v>
      </c>
      <c r="K36" s="60">
        <v>0</v>
      </c>
      <c r="L36" s="60">
        <v>0</v>
      </c>
      <c r="M36" s="60">
        <v>0</v>
      </c>
      <c r="N36" s="60">
        <v>0</v>
      </c>
      <c r="O36" s="61">
        <v>11072167112.509995</v>
      </c>
    </row>
    <row r="37" spans="2:15" ht="11" thickTop="1" x14ac:dyDescent="0.25">
      <c r="B37" s="40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2:15" ht="10.5" x14ac:dyDescent="0.25">
      <c r="B38" s="41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2:15" ht="10.5" x14ac:dyDescent="0.2">
      <c r="B39" s="34" t="s">
        <v>37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>
        <v>0</v>
      </c>
    </row>
    <row r="40" spans="2:15" x14ac:dyDescent="0.25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2:15" ht="42" x14ac:dyDescent="0.25">
      <c r="B41" s="35" t="s">
        <v>0</v>
      </c>
      <c r="C41" s="53" t="s">
        <v>16</v>
      </c>
      <c r="D41" s="53" t="s">
        <v>17</v>
      </c>
      <c r="E41" s="53" t="s">
        <v>27</v>
      </c>
      <c r="F41" s="53" t="s">
        <v>28</v>
      </c>
      <c r="G41" s="53" t="s">
        <v>18</v>
      </c>
      <c r="H41" s="53" t="s">
        <v>19</v>
      </c>
      <c r="I41" s="53" t="s">
        <v>12</v>
      </c>
      <c r="J41" s="53" t="s">
        <v>13</v>
      </c>
      <c r="K41" s="53" t="s">
        <v>15</v>
      </c>
      <c r="L41" s="53" t="s">
        <v>14</v>
      </c>
      <c r="M41" s="53" t="s">
        <v>29</v>
      </c>
      <c r="N41" s="53" t="s">
        <v>1</v>
      </c>
      <c r="O41" s="54" t="s">
        <v>2</v>
      </c>
    </row>
    <row r="42" spans="2:15" ht="10.5" x14ac:dyDescent="0.25">
      <c r="B42" s="36" t="s">
        <v>36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</row>
    <row r="43" spans="2:15" x14ac:dyDescent="0.2">
      <c r="B43" s="37" t="s">
        <v>21</v>
      </c>
      <c r="C43" s="56"/>
      <c r="D43" s="56"/>
      <c r="E43" s="56"/>
      <c r="F43" s="56"/>
      <c r="G43" s="56"/>
      <c r="H43" s="56"/>
      <c r="I43" s="56"/>
      <c r="J43" s="56"/>
      <c r="K43" s="57"/>
      <c r="L43" s="57"/>
      <c r="M43" s="57"/>
      <c r="N43" s="57"/>
      <c r="O43" s="58">
        <v>0</v>
      </c>
    </row>
    <row r="44" spans="2:15" x14ac:dyDescent="0.2">
      <c r="B44" s="37" t="s">
        <v>23</v>
      </c>
      <c r="C44" s="56"/>
      <c r="D44" s="56"/>
      <c r="E44" s="56"/>
      <c r="F44" s="56"/>
      <c r="G44" s="56"/>
      <c r="H44" s="56"/>
      <c r="I44" s="56"/>
      <c r="J44" s="56"/>
      <c r="K44" s="57"/>
      <c r="L44" s="57"/>
      <c r="M44" s="57"/>
      <c r="N44" s="57"/>
      <c r="O44" s="58">
        <v>0</v>
      </c>
    </row>
    <row r="45" spans="2:15" x14ac:dyDescent="0.2">
      <c r="B45" s="38" t="s">
        <v>22</v>
      </c>
      <c r="C45" s="65"/>
      <c r="D45" s="65"/>
      <c r="E45" s="65"/>
      <c r="F45" s="65"/>
      <c r="G45" s="65"/>
      <c r="H45" s="65"/>
      <c r="I45" s="65"/>
      <c r="J45" s="65"/>
      <c r="K45" s="66"/>
      <c r="L45" s="66"/>
      <c r="M45" s="66"/>
      <c r="N45" s="66"/>
      <c r="O45" s="59">
        <v>0</v>
      </c>
    </row>
    <row r="46" spans="2:15" x14ac:dyDescent="0.2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2:15" x14ac:dyDescent="0.25"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2:15" ht="10.5" x14ac:dyDescent="0.2">
      <c r="B48" s="34" t="s">
        <v>8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>
        <v>0</v>
      </c>
    </row>
    <row r="49" spans="2:15" ht="10.5" x14ac:dyDescent="0.25">
      <c r="B49" s="41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7"/>
    </row>
    <row r="50" spans="2:15" ht="42" x14ac:dyDescent="0.25">
      <c r="B50" s="35" t="s">
        <v>30</v>
      </c>
      <c r="C50" s="53" t="s">
        <v>16</v>
      </c>
      <c r="D50" s="53" t="s">
        <v>17</v>
      </c>
      <c r="E50" s="53" t="s">
        <v>27</v>
      </c>
      <c r="F50" s="53" t="s">
        <v>28</v>
      </c>
      <c r="G50" s="53" t="s">
        <v>18</v>
      </c>
      <c r="H50" s="53" t="s">
        <v>19</v>
      </c>
      <c r="I50" s="53" t="s">
        <v>12</v>
      </c>
      <c r="J50" s="53" t="s">
        <v>13</v>
      </c>
      <c r="K50" s="53" t="s">
        <v>15</v>
      </c>
      <c r="L50" s="53" t="s">
        <v>14</v>
      </c>
      <c r="M50" s="53" t="s">
        <v>29</v>
      </c>
      <c r="N50" s="53" t="s">
        <v>1</v>
      </c>
      <c r="O50" s="54" t="s">
        <v>2</v>
      </c>
    </row>
    <row r="51" spans="2:15" ht="10.5" x14ac:dyDescent="0.25">
      <c r="B51" s="36" t="s">
        <v>31</v>
      </c>
      <c r="C51" s="55">
        <v>1326</v>
      </c>
      <c r="D51" s="55">
        <v>0</v>
      </c>
      <c r="E51" s="55">
        <v>5049</v>
      </c>
      <c r="F51" s="55">
        <v>0</v>
      </c>
      <c r="G51" s="55">
        <v>0</v>
      </c>
      <c r="H51" s="55">
        <v>0</v>
      </c>
      <c r="I51" s="55">
        <v>0</v>
      </c>
      <c r="J51" s="55">
        <v>6712</v>
      </c>
      <c r="K51" s="55">
        <v>0</v>
      </c>
      <c r="L51" s="55">
        <v>0</v>
      </c>
      <c r="M51" s="55">
        <v>0</v>
      </c>
      <c r="N51" s="55">
        <v>0</v>
      </c>
      <c r="O51" s="55">
        <v>13087</v>
      </c>
    </row>
    <row r="52" spans="2:15" x14ac:dyDescent="0.2">
      <c r="B52" s="37" t="s">
        <v>21</v>
      </c>
      <c r="C52" s="56"/>
      <c r="D52" s="56"/>
      <c r="E52" s="56"/>
      <c r="F52" s="56"/>
      <c r="G52" s="56"/>
      <c r="H52" s="56"/>
      <c r="I52" s="56"/>
      <c r="J52" s="56"/>
      <c r="K52" s="57"/>
      <c r="L52" s="57"/>
      <c r="M52" s="57"/>
      <c r="N52" s="57"/>
      <c r="O52" s="58">
        <v>0</v>
      </c>
    </row>
    <row r="53" spans="2:15" x14ac:dyDescent="0.2">
      <c r="B53" s="37" t="s">
        <v>23</v>
      </c>
      <c r="C53" s="56">
        <v>1326</v>
      </c>
      <c r="D53" s="56"/>
      <c r="E53" s="56">
        <v>5049</v>
      </c>
      <c r="F53" s="56"/>
      <c r="G53" s="56"/>
      <c r="H53" s="56"/>
      <c r="I53" s="56"/>
      <c r="J53" s="56">
        <v>6712</v>
      </c>
      <c r="K53" s="57"/>
      <c r="L53" s="57"/>
      <c r="M53" s="57"/>
      <c r="N53" s="57"/>
      <c r="O53" s="58">
        <v>13087</v>
      </c>
    </row>
    <row r="54" spans="2:15" x14ac:dyDescent="0.2">
      <c r="B54" s="38" t="s">
        <v>22</v>
      </c>
      <c r="C54" s="65"/>
      <c r="D54" s="65"/>
      <c r="E54" s="65"/>
      <c r="F54" s="65"/>
      <c r="G54" s="65"/>
      <c r="H54" s="65"/>
      <c r="I54" s="65"/>
      <c r="J54" s="65"/>
      <c r="K54" s="66"/>
      <c r="L54" s="66"/>
      <c r="M54" s="66"/>
      <c r="N54" s="66"/>
      <c r="O54" s="59">
        <v>0</v>
      </c>
    </row>
    <row r="55" spans="2:15" ht="10.5" x14ac:dyDescent="0.25">
      <c r="B55" s="41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7"/>
    </row>
    <row r="56" spans="2:15" ht="10.5" x14ac:dyDescent="0.25">
      <c r="B56" s="41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7"/>
    </row>
    <row r="57" spans="2:15" ht="10.5" x14ac:dyDescent="0.25">
      <c r="B57" s="34" t="s">
        <v>41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3"/>
    </row>
    <row r="58" spans="2:15" ht="10.5" x14ac:dyDescent="0.25">
      <c r="B58" s="42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70"/>
    </row>
    <row r="59" spans="2:15" ht="42" x14ac:dyDescent="0.25">
      <c r="B59" s="35" t="s">
        <v>9</v>
      </c>
      <c r="C59" s="53" t="s">
        <v>16</v>
      </c>
      <c r="D59" s="53" t="s">
        <v>17</v>
      </c>
      <c r="E59" s="53" t="s">
        <v>27</v>
      </c>
      <c r="F59" s="53" t="s">
        <v>28</v>
      </c>
      <c r="G59" s="53" t="s">
        <v>18</v>
      </c>
      <c r="H59" s="53" t="s">
        <v>19</v>
      </c>
      <c r="I59" s="53" t="s">
        <v>12</v>
      </c>
      <c r="J59" s="53" t="s">
        <v>13</v>
      </c>
      <c r="K59" s="53" t="s">
        <v>15</v>
      </c>
      <c r="L59" s="53" t="s">
        <v>14</v>
      </c>
      <c r="M59" s="53" t="s">
        <v>29</v>
      </c>
      <c r="N59" s="53" t="s">
        <v>1</v>
      </c>
      <c r="O59" s="54" t="s">
        <v>2</v>
      </c>
    </row>
    <row r="60" spans="2:15" ht="10.5" x14ac:dyDescent="0.25">
      <c r="B60" s="36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</row>
    <row r="61" spans="2:15" ht="10.5" x14ac:dyDescent="0.25">
      <c r="B61" s="43" t="s">
        <v>33</v>
      </c>
      <c r="C61" s="73">
        <v>93147937.310000077</v>
      </c>
      <c r="D61" s="73">
        <v>0</v>
      </c>
      <c r="E61" s="73">
        <v>266235720.27999961</v>
      </c>
      <c r="F61" s="73">
        <v>0</v>
      </c>
      <c r="G61" s="73">
        <v>0</v>
      </c>
      <c r="H61" s="73">
        <v>0</v>
      </c>
      <c r="I61" s="73">
        <v>0</v>
      </c>
      <c r="J61" s="73">
        <v>197516162.97999975</v>
      </c>
      <c r="K61" s="73">
        <v>0</v>
      </c>
      <c r="L61" s="73">
        <v>0</v>
      </c>
      <c r="M61" s="73">
        <v>0</v>
      </c>
      <c r="N61" s="73">
        <v>0</v>
      </c>
      <c r="O61" s="74">
        <v>556899820.56999946</v>
      </c>
    </row>
    <row r="62" spans="2:15" ht="10.5" x14ac:dyDescent="0.25">
      <c r="B62" s="36" t="s">
        <v>34</v>
      </c>
      <c r="C62" s="55">
        <v>50196.479999999996</v>
      </c>
      <c r="D62" s="55">
        <v>0</v>
      </c>
      <c r="E62" s="55">
        <v>7555533.5599999996</v>
      </c>
      <c r="F62" s="55">
        <v>0</v>
      </c>
      <c r="G62" s="55">
        <v>0</v>
      </c>
      <c r="H62" s="55">
        <v>0</v>
      </c>
      <c r="I62" s="55">
        <v>0</v>
      </c>
      <c r="J62" s="55">
        <v>21523806.239999991</v>
      </c>
      <c r="K62" s="55">
        <v>0</v>
      </c>
      <c r="L62" s="55">
        <v>0</v>
      </c>
      <c r="M62" s="55">
        <v>0</v>
      </c>
      <c r="N62" s="55">
        <v>0</v>
      </c>
      <c r="O62" s="147">
        <v>29129536.27999999</v>
      </c>
    </row>
    <row r="63" spans="2:15" x14ac:dyDescent="0.2">
      <c r="B63" s="37" t="s">
        <v>21</v>
      </c>
      <c r="C63" s="56"/>
      <c r="D63" s="56"/>
      <c r="E63" s="56"/>
      <c r="F63" s="56"/>
      <c r="G63" s="56"/>
      <c r="H63" s="56"/>
      <c r="I63" s="56"/>
      <c r="J63" s="56"/>
      <c r="K63" s="57"/>
      <c r="L63" s="57"/>
      <c r="M63" s="57"/>
      <c r="N63" s="57"/>
      <c r="O63" s="75">
        <v>0</v>
      </c>
    </row>
    <row r="64" spans="2:15" x14ac:dyDescent="0.2">
      <c r="B64" s="37" t="s">
        <v>23</v>
      </c>
      <c r="C64" s="56">
        <v>50196.479999999996</v>
      </c>
      <c r="D64" s="56"/>
      <c r="E64" s="56">
        <v>7555533.5599999996</v>
      </c>
      <c r="F64" s="56"/>
      <c r="G64" s="56"/>
      <c r="H64" s="56"/>
      <c r="I64" s="56"/>
      <c r="J64" s="56">
        <v>21523806.239999991</v>
      </c>
      <c r="K64" s="57"/>
      <c r="L64" s="57"/>
      <c r="M64" s="57"/>
      <c r="N64" s="57"/>
      <c r="O64" s="75">
        <v>29129536.27999999</v>
      </c>
    </row>
    <row r="65" spans="2:15" x14ac:dyDescent="0.2">
      <c r="B65" s="38" t="s">
        <v>22</v>
      </c>
      <c r="C65" s="65"/>
      <c r="D65" s="65"/>
      <c r="E65" s="65"/>
      <c r="F65" s="65"/>
      <c r="G65" s="65"/>
      <c r="H65" s="65"/>
      <c r="I65" s="65"/>
      <c r="J65" s="65"/>
      <c r="K65" s="66"/>
      <c r="L65" s="66"/>
      <c r="M65" s="66"/>
      <c r="N65" s="66"/>
      <c r="O65" s="76">
        <v>0</v>
      </c>
    </row>
    <row r="66" spans="2:15" ht="10.5" x14ac:dyDescent="0.25">
      <c r="B66" s="36" t="s">
        <v>35</v>
      </c>
      <c r="C66" s="77">
        <v>93079740.830000073</v>
      </c>
      <c r="D66" s="77">
        <v>0</v>
      </c>
      <c r="E66" s="77">
        <v>258680186.71999961</v>
      </c>
      <c r="F66" s="77">
        <v>0</v>
      </c>
      <c r="G66" s="77">
        <v>0</v>
      </c>
      <c r="H66" s="77">
        <v>0</v>
      </c>
      <c r="I66" s="77">
        <v>0</v>
      </c>
      <c r="J66" s="77">
        <v>175992356.73999977</v>
      </c>
      <c r="K66" s="77">
        <v>0</v>
      </c>
      <c r="L66" s="77">
        <v>0</v>
      </c>
      <c r="M66" s="77">
        <v>0</v>
      </c>
      <c r="N66" s="77">
        <v>0</v>
      </c>
      <c r="O66" s="148">
        <v>527752284.28999949</v>
      </c>
    </row>
    <row r="67" spans="2:15" x14ac:dyDescent="0.2">
      <c r="B67" s="37" t="s">
        <v>21</v>
      </c>
      <c r="C67" s="56"/>
      <c r="D67" s="56"/>
      <c r="E67" s="56"/>
      <c r="F67" s="56"/>
      <c r="G67" s="56"/>
      <c r="H67" s="56"/>
      <c r="I67" s="56"/>
      <c r="J67" s="56"/>
      <c r="K67" s="57"/>
      <c r="L67" s="57"/>
      <c r="M67" s="57"/>
      <c r="N67" s="57"/>
      <c r="O67" s="75">
        <v>0</v>
      </c>
    </row>
    <row r="68" spans="2:15" x14ac:dyDescent="0.2">
      <c r="B68" s="37" t="s">
        <v>23</v>
      </c>
      <c r="C68" s="56">
        <v>90549100.290000066</v>
      </c>
      <c r="D68" s="56"/>
      <c r="E68" s="56">
        <v>258526488.10999963</v>
      </c>
      <c r="F68" s="56"/>
      <c r="G68" s="56"/>
      <c r="H68" s="56"/>
      <c r="I68" s="56"/>
      <c r="J68" s="56">
        <v>171052771.56999981</v>
      </c>
      <c r="K68" s="57"/>
      <c r="L68" s="57"/>
      <c r="M68" s="57"/>
      <c r="N68" s="57"/>
      <c r="O68" s="75">
        <v>520128359.96999949</v>
      </c>
    </row>
    <row r="69" spans="2:15" x14ac:dyDescent="0.2">
      <c r="B69" s="38" t="s">
        <v>22</v>
      </c>
      <c r="C69" s="65">
        <v>2530640.5400000005</v>
      </c>
      <c r="D69" s="65"/>
      <c r="E69" s="65">
        <v>153698.6099999983</v>
      </c>
      <c r="F69" s="65"/>
      <c r="G69" s="65"/>
      <c r="H69" s="65"/>
      <c r="I69" s="65"/>
      <c r="J69" s="65">
        <v>4939585.1699999683</v>
      </c>
      <c r="K69" s="66"/>
      <c r="L69" s="66"/>
      <c r="M69" s="66"/>
      <c r="N69" s="66"/>
      <c r="O69" s="76">
        <v>7623924.3199999668</v>
      </c>
    </row>
    <row r="70" spans="2:15" x14ac:dyDescent="0.25">
      <c r="B70" s="44"/>
      <c r="C70" s="78"/>
      <c r="D70" s="78"/>
      <c r="E70" s="78"/>
      <c r="F70" s="78"/>
      <c r="G70" s="78"/>
      <c r="H70" s="78"/>
      <c r="I70" s="78"/>
      <c r="J70" s="78"/>
      <c r="K70" s="79"/>
      <c r="L70" s="79"/>
      <c r="M70" s="79"/>
      <c r="N70" s="79"/>
      <c r="O70" s="79"/>
    </row>
    <row r="71" spans="2:15" ht="10.5" x14ac:dyDescent="0.25">
      <c r="B71" s="43" t="s">
        <v>11</v>
      </c>
      <c r="C71" s="73">
        <v>18000</v>
      </c>
      <c r="D71" s="73">
        <v>0</v>
      </c>
      <c r="E71" s="73">
        <v>29125528.039999969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4">
        <v>29143528.039999969</v>
      </c>
    </row>
    <row r="72" spans="2:15" ht="10.5" x14ac:dyDescent="0.25">
      <c r="B72" s="36" t="s">
        <v>24</v>
      </c>
      <c r="C72" s="55">
        <v>18000</v>
      </c>
      <c r="D72" s="55">
        <v>0</v>
      </c>
      <c r="E72" s="55">
        <v>29125528.039999969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29143528.039999969</v>
      </c>
    </row>
    <row r="73" spans="2:15" x14ac:dyDescent="0.2">
      <c r="B73" s="37" t="s">
        <v>21</v>
      </c>
      <c r="C73" s="56"/>
      <c r="D73" s="56"/>
      <c r="E73" s="56"/>
      <c r="F73" s="56"/>
      <c r="G73" s="56"/>
      <c r="H73" s="56"/>
      <c r="I73" s="56"/>
      <c r="J73" s="56"/>
      <c r="K73" s="57"/>
      <c r="L73" s="57"/>
      <c r="M73" s="57"/>
      <c r="N73" s="57"/>
      <c r="O73" s="58">
        <v>0</v>
      </c>
    </row>
    <row r="74" spans="2:15" x14ac:dyDescent="0.2">
      <c r="B74" s="37" t="s">
        <v>23</v>
      </c>
      <c r="C74" s="56">
        <v>18000</v>
      </c>
      <c r="D74" s="56"/>
      <c r="E74" s="56">
        <v>29125528.039999969</v>
      </c>
      <c r="F74" s="56"/>
      <c r="G74" s="56"/>
      <c r="H74" s="56"/>
      <c r="I74" s="56"/>
      <c r="J74" s="56">
        <v>0</v>
      </c>
      <c r="K74" s="56"/>
      <c r="L74" s="56"/>
      <c r="M74" s="57"/>
      <c r="N74" s="57"/>
      <c r="O74" s="58">
        <v>29143528.039999969</v>
      </c>
    </row>
    <row r="75" spans="2:15" x14ac:dyDescent="0.2">
      <c r="B75" s="38" t="s">
        <v>22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7"/>
      <c r="N75" s="57"/>
      <c r="O75" s="59">
        <v>0</v>
      </c>
    </row>
    <row r="76" spans="2:15" ht="10.5" x14ac:dyDescent="0.25">
      <c r="B76" s="36" t="s">
        <v>10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149">
        <v>0</v>
      </c>
    </row>
    <row r="77" spans="2:15" x14ac:dyDescent="0.2">
      <c r="B77" s="37" t="s">
        <v>21</v>
      </c>
      <c r="C77" s="56"/>
      <c r="D77" s="56"/>
      <c r="E77" s="56"/>
      <c r="F77" s="56"/>
      <c r="G77" s="56"/>
      <c r="H77" s="56"/>
      <c r="I77" s="56"/>
      <c r="J77" s="56"/>
      <c r="K77" s="57"/>
      <c r="L77" s="57"/>
      <c r="M77" s="57"/>
      <c r="N77" s="57"/>
      <c r="O77" s="58">
        <v>0</v>
      </c>
    </row>
    <row r="78" spans="2:15" x14ac:dyDescent="0.2">
      <c r="B78" s="37" t="s">
        <v>23</v>
      </c>
      <c r="C78" s="56"/>
      <c r="D78" s="56"/>
      <c r="E78" s="56">
        <v>0</v>
      </c>
      <c r="F78" s="56"/>
      <c r="G78" s="56"/>
      <c r="H78" s="56"/>
      <c r="I78" s="56"/>
      <c r="J78" s="56"/>
      <c r="K78" s="57"/>
      <c r="L78" s="57"/>
      <c r="M78" s="57"/>
      <c r="N78" s="57"/>
      <c r="O78" s="58">
        <v>0</v>
      </c>
    </row>
    <row r="79" spans="2:15" x14ac:dyDescent="0.2">
      <c r="B79" s="38" t="s">
        <v>22</v>
      </c>
      <c r="C79" s="56"/>
      <c r="D79" s="56"/>
      <c r="E79" s="56">
        <v>0</v>
      </c>
      <c r="F79" s="56"/>
      <c r="G79" s="56"/>
      <c r="H79" s="56"/>
      <c r="I79" s="56"/>
      <c r="J79" s="56"/>
      <c r="K79" s="57"/>
      <c r="L79" s="57"/>
      <c r="M79" s="57"/>
      <c r="N79" s="57"/>
      <c r="O79" s="59">
        <v>0</v>
      </c>
    </row>
    <row r="80" spans="2:15" ht="11" thickBot="1" x14ac:dyDescent="0.3">
      <c r="B80" s="39" t="s">
        <v>38</v>
      </c>
      <c r="C80" s="60">
        <v>-93047544.350000069</v>
      </c>
      <c r="D80" s="60">
        <v>0</v>
      </c>
      <c r="E80" s="60">
        <v>-280250181.19999957</v>
      </c>
      <c r="F80" s="60">
        <v>0</v>
      </c>
      <c r="G80" s="60">
        <v>0</v>
      </c>
      <c r="H80" s="60">
        <v>0</v>
      </c>
      <c r="I80" s="60">
        <v>0</v>
      </c>
      <c r="J80" s="60">
        <v>-154468550.49999979</v>
      </c>
      <c r="K80" s="60">
        <v>0</v>
      </c>
      <c r="L80" s="60">
        <v>0</v>
      </c>
      <c r="M80" s="60">
        <v>0</v>
      </c>
      <c r="N80" s="60">
        <v>0</v>
      </c>
      <c r="O80" s="61">
        <v>-527766276.04999948</v>
      </c>
    </row>
    <row r="81" spans="2:15" ht="10.5" thickTop="1" x14ac:dyDescent="0.25">
      <c r="B81" s="45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</row>
    <row r="82" spans="2:15" x14ac:dyDescent="0.25">
      <c r="B82" s="46" t="s">
        <v>32</v>
      </c>
      <c r="C82" s="81">
        <v>15206705.909898872</v>
      </c>
      <c r="D82" s="81"/>
      <c r="E82" s="81">
        <v>299806482.05681056</v>
      </c>
      <c r="F82" s="81"/>
      <c r="G82" s="81"/>
      <c r="H82" s="81"/>
      <c r="I82" s="81"/>
      <c r="J82" s="81">
        <v>10827988.850879878</v>
      </c>
      <c r="K82" s="81"/>
      <c r="L82" s="81"/>
      <c r="M82" s="81"/>
      <c r="N82" s="81"/>
      <c r="O82" s="81">
        <v>325841176.81758928</v>
      </c>
    </row>
  </sheetData>
  <pageMargins left="0.75" right="0.75" top="1" bottom="1" header="0.5" footer="0.5"/>
  <pageSetup paperSize="9" scale="44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3D2D-FCD0-4008-A116-37884DE18D05}">
  <dimension ref="B1:O83"/>
  <sheetViews>
    <sheetView topLeftCell="B55" zoomScale="86" zoomScaleNormal="86" workbookViewId="0"/>
  </sheetViews>
  <sheetFormatPr defaultColWidth="9.26953125" defaultRowHeight="10" x14ac:dyDescent="0.25"/>
  <cols>
    <col min="1" max="1" width="2.7265625" style="33" customWidth="1"/>
    <col min="2" max="2" width="49.1796875" style="33" customWidth="1"/>
    <col min="3" max="3" width="13.26953125" style="19" customWidth="1"/>
    <col min="4" max="4" width="16.26953125" style="19" customWidth="1"/>
    <col min="5" max="5" width="14.453125" style="19" customWidth="1"/>
    <col min="6" max="6" width="15.7265625" style="19" customWidth="1"/>
    <col min="7" max="8" width="16.54296875" style="19" customWidth="1"/>
    <col min="9" max="9" width="13.7265625" style="19" customWidth="1"/>
    <col min="10" max="10" width="17.26953125" style="19" customWidth="1"/>
    <col min="11" max="11" width="12.26953125" style="19" bestFit="1" customWidth="1"/>
    <col min="12" max="12" width="12.7265625" style="19" customWidth="1"/>
    <col min="13" max="13" width="14" style="19" customWidth="1"/>
    <col min="14" max="14" width="14.54296875" style="19" customWidth="1"/>
    <col min="15" max="15" width="13.26953125" style="19" bestFit="1" customWidth="1"/>
    <col min="16" max="16" width="2.7265625" style="33" customWidth="1"/>
    <col min="17" max="16384" width="9.26953125" style="33"/>
  </cols>
  <sheetData>
    <row r="1" spans="2:15" ht="10.5" x14ac:dyDescent="0.25">
      <c r="B1" s="34" t="s">
        <v>39</v>
      </c>
      <c r="C1" s="18"/>
      <c r="D1" s="18"/>
      <c r="E1" s="18"/>
      <c r="F1" s="18"/>
      <c r="G1" s="18"/>
    </row>
    <row r="2" spans="2:15" ht="10.5" x14ac:dyDescent="0.25">
      <c r="B2" s="34" t="s">
        <v>48</v>
      </c>
      <c r="C2" s="20"/>
      <c r="D2" s="20"/>
    </row>
    <row r="5" spans="2:15" ht="10.5" x14ac:dyDescent="0.25">
      <c r="B5" s="34" t="s">
        <v>40</v>
      </c>
    </row>
    <row r="7" spans="2:15" ht="42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15" ht="10.5" x14ac:dyDescent="0.25">
      <c r="B8" s="36" t="s">
        <v>3</v>
      </c>
      <c r="C8" s="1">
        <v>54065704160.850067</v>
      </c>
      <c r="D8" s="1">
        <v>0</v>
      </c>
      <c r="E8" s="1">
        <v>25492385175.290043</v>
      </c>
      <c r="F8" s="1">
        <v>0</v>
      </c>
      <c r="G8" s="1">
        <v>0</v>
      </c>
      <c r="H8" s="1">
        <v>0</v>
      </c>
      <c r="I8" s="1">
        <v>18322436703.04998</v>
      </c>
      <c r="J8" s="1">
        <v>23533296579.649971</v>
      </c>
      <c r="K8" s="1">
        <v>72448339812.629944</v>
      </c>
      <c r="L8" s="1">
        <v>0</v>
      </c>
      <c r="M8" s="1">
        <v>0</v>
      </c>
      <c r="N8" s="1">
        <v>0</v>
      </c>
      <c r="O8" s="1">
        <v>193862162431.47</v>
      </c>
    </row>
    <row r="9" spans="2:15" x14ac:dyDescent="0.2">
      <c r="B9" s="37" t="s">
        <v>21</v>
      </c>
      <c r="C9" s="3">
        <v>4117026028.4949999</v>
      </c>
      <c r="D9" s="3"/>
      <c r="E9" s="3">
        <v>3939342182.1600051</v>
      </c>
      <c r="F9" s="3"/>
      <c r="G9" s="3"/>
      <c r="H9" s="3"/>
      <c r="I9" s="3">
        <v>761193510.69999993</v>
      </c>
      <c r="J9" s="3">
        <v>1639209564.2899997</v>
      </c>
      <c r="K9" s="3">
        <v>4090805663.3750005</v>
      </c>
      <c r="L9" s="4"/>
      <c r="M9" s="4"/>
      <c r="N9" s="4"/>
      <c r="O9" s="16">
        <v>14547576949.020004</v>
      </c>
    </row>
    <row r="10" spans="2:15" x14ac:dyDescent="0.2">
      <c r="B10" s="37" t="s">
        <v>49</v>
      </c>
      <c r="C10" s="3">
        <v>49948678132.355064</v>
      </c>
      <c r="D10" s="3"/>
      <c r="E10" s="3">
        <v>21553042993.130039</v>
      </c>
      <c r="F10" s="3"/>
      <c r="G10" s="3"/>
      <c r="H10" s="3"/>
      <c r="I10" s="3">
        <v>17561243192.349979</v>
      </c>
      <c r="J10" s="3">
        <v>21894087015.35997</v>
      </c>
      <c r="K10" s="3">
        <v>68357534149.254944</v>
      </c>
      <c r="L10" s="4"/>
      <c r="M10" s="4"/>
      <c r="N10" s="4"/>
      <c r="O10" s="16">
        <v>179314585482.45001</v>
      </c>
    </row>
    <row r="11" spans="2:15" x14ac:dyDescent="0.2">
      <c r="B11" s="38" t="s">
        <v>22</v>
      </c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4"/>
      <c r="O11" s="17">
        <v>0</v>
      </c>
    </row>
    <row r="12" spans="2:15" ht="10.5" x14ac:dyDescent="0.25">
      <c r="B12" s="36" t="s">
        <v>4</v>
      </c>
      <c r="C12" s="1">
        <v>1543287130.8299992</v>
      </c>
      <c r="D12" s="1">
        <v>24074631605.635746</v>
      </c>
      <c r="E12" s="1">
        <v>3000925526.190001</v>
      </c>
      <c r="F12" s="1">
        <v>15841399984.368973</v>
      </c>
      <c r="G12" s="1">
        <v>0</v>
      </c>
      <c r="H12" s="1">
        <v>0</v>
      </c>
      <c r="I12" s="1">
        <v>140887880.181104</v>
      </c>
      <c r="J12" s="1">
        <v>224686609.25999996</v>
      </c>
      <c r="K12" s="1">
        <v>4086783122.2800002</v>
      </c>
      <c r="L12" s="1">
        <v>0</v>
      </c>
      <c r="M12" s="1">
        <v>0</v>
      </c>
      <c r="N12" s="1">
        <v>0</v>
      </c>
      <c r="O12" s="1">
        <v>48912601858.745827</v>
      </c>
    </row>
    <row r="13" spans="2:15" x14ac:dyDescent="0.2">
      <c r="B13" s="37" t="s">
        <v>21</v>
      </c>
      <c r="C13" s="3">
        <v>40515523.239999995</v>
      </c>
      <c r="D13" s="3">
        <v>2538034236.7172341</v>
      </c>
      <c r="E13" s="3">
        <v>583174920.6500001</v>
      </c>
      <c r="F13" s="3">
        <v>2383277622.7540598</v>
      </c>
      <c r="G13" s="3"/>
      <c r="H13" s="3"/>
      <c r="I13" s="3">
        <v>4138708.1799999997</v>
      </c>
      <c r="J13" s="3">
        <v>10431443.810000001</v>
      </c>
      <c r="K13" s="3">
        <v>97730807.620000005</v>
      </c>
      <c r="L13" s="4"/>
      <c r="M13" s="4"/>
      <c r="N13" s="4"/>
      <c r="O13" s="16">
        <v>5657303262.9712944</v>
      </c>
    </row>
    <row r="14" spans="2:15" x14ac:dyDescent="0.2">
      <c r="B14" s="37" t="s">
        <v>49</v>
      </c>
      <c r="C14" s="3">
        <v>1502771607.5899992</v>
      </c>
      <c r="D14" s="150">
        <v>21536597368.91851</v>
      </c>
      <c r="E14" s="150">
        <v>2417750605.5400009</v>
      </c>
      <c r="F14" s="150">
        <v>13458122361.614912</v>
      </c>
      <c r="G14" s="3"/>
      <c r="H14" s="3"/>
      <c r="I14" s="150">
        <v>136749172.001104</v>
      </c>
      <c r="J14" s="150">
        <v>214255165.44999996</v>
      </c>
      <c r="K14" s="150">
        <v>3989052314.6600003</v>
      </c>
      <c r="L14" s="4"/>
      <c r="M14" s="4"/>
      <c r="N14" s="4"/>
      <c r="O14" s="16">
        <v>43255298595.774529</v>
      </c>
    </row>
    <row r="15" spans="2:15" x14ac:dyDescent="0.2">
      <c r="B15" s="38" t="s">
        <v>22</v>
      </c>
      <c r="C15" s="3"/>
      <c r="D15" s="3"/>
      <c r="E15" s="3"/>
      <c r="F15" s="3"/>
      <c r="G15" s="3"/>
      <c r="H15" s="3"/>
      <c r="I15" s="3"/>
      <c r="J15" s="3"/>
      <c r="K15" s="4"/>
      <c r="L15" s="4"/>
      <c r="M15" s="4"/>
      <c r="N15" s="4"/>
      <c r="O15" s="17">
        <v>0</v>
      </c>
    </row>
    <row r="16" spans="2:15" ht="10.5" x14ac:dyDescent="0.25">
      <c r="B16" s="36" t="s">
        <v>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2:15" x14ac:dyDescent="0.2">
      <c r="B17" s="37" t="s">
        <v>21</v>
      </c>
      <c r="C17" s="3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16">
        <v>0</v>
      </c>
    </row>
    <row r="18" spans="2:15" x14ac:dyDescent="0.2">
      <c r="B18" s="37" t="s">
        <v>49</v>
      </c>
      <c r="C18" s="3"/>
      <c r="D18" s="3"/>
      <c r="E18" s="3"/>
      <c r="F18" s="3"/>
      <c r="G18" s="3"/>
      <c r="H18" s="3"/>
      <c r="I18" s="3"/>
      <c r="J18" s="3"/>
      <c r="K18" s="4"/>
      <c r="L18" s="4"/>
      <c r="M18" s="4"/>
      <c r="N18" s="4"/>
      <c r="O18" s="16">
        <v>0</v>
      </c>
    </row>
    <row r="19" spans="2:15" x14ac:dyDescent="0.2">
      <c r="B19" s="38" t="s">
        <v>22</v>
      </c>
      <c r="C19" s="3"/>
      <c r="D19" s="3"/>
      <c r="E19" s="3"/>
      <c r="F19" s="3"/>
      <c r="G19" s="3"/>
      <c r="H19" s="3"/>
      <c r="I19" s="3"/>
      <c r="J19" s="3"/>
      <c r="K19" s="4"/>
      <c r="L19" s="4"/>
      <c r="M19" s="4"/>
      <c r="N19" s="4"/>
      <c r="O19" s="17">
        <v>0</v>
      </c>
    </row>
    <row r="20" spans="2:15" ht="10.5" x14ac:dyDescent="0.25">
      <c r="B20" s="36" t="s">
        <v>6</v>
      </c>
      <c r="C20" s="1">
        <v>7980136.4899999909</v>
      </c>
      <c r="D20" s="1">
        <v>20034171.113000002</v>
      </c>
      <c r="E20" s="1">
        <v>69437332.780000001</v>
      </c>
      <c r="F20" s="1">
        <v>32165097.648749996</v>
      </c>
      <c r="G20" s="1">
        <v>0</v>
      </c>
      <c r="H20" s="1">
        <v>0</v>
      </c>
      <c r="I20" s="1">
        <v>17079995.270000007</v>
      </c>
      <c r="J20" s="1">
        <v>17282420.650000002</v>
      </c>
      <c r="K20" s="1">
        <v>59877161.920000069</v>
      </c>
      <c r="L20" s="1">
        <v>0</v>
      </c>
      <c r="M20" s="1">
        <v>0</v>
      </c>
      <c r="N20" s="1">
        <v>0</v>
      </c>
      <c r="O20" s="1">
        <v>223856315.87175006</v>
      </c>
    </row>
    <row r="21" spans="2:15" x14ac:dyDescent="0.2">
      <c r="B21" s="37" t="s">
        <v>21</v>
      </c>
      <c r="C21" s="3">
        <v>-21319949.670000002</v>
      </c>
      <c r="D21" s="3">
        <v>3976603.5417625015</v>
      </c>
      <c r="E21" s="3">
        <v>6882941.75</v>
      </c>
      <c r="F21" s="3">
        <v>182433.66638749998</v>
      </c>
      <c r="G21" s="3"/>
      <c r="H21" s="3"/>
      <c r="I21" s="3">
        <v>520405.26</v>
      </c>
      <c r="J21" s="3">
        <v>2901042.5100000002</v>
      </c>
      <c r="K21" s="3">
        <v>-1200905.78</v>
      </c>
      <c r="L21" s="4"/>
      <c r="M21" s="4"/>
      <c r="N21" s="4"/>
      <c r="O21" s="16">
        <v>-8057428.7218500013</v>
      </c>
    </row>
    <row r="22" spans="2:15" x14ac:dyDescent="0.2">
      <c r="B22" s="37" t="s">
        <v>49</v>
      </c>
      <c r="C22" s="3">
        <v>29300086.159999993</v>
      </c>
      <c r="D22" s="3">
        <v>16057567.571237501</v>
      </c>
      <c r="E22" s="3">
        <v>62554391.030000001</v>
      </c>
      <c r="F22" s="3">
        <v>31982663.982362498</v>
      </c>
      <c r="G22" s="3"/>
      <c r="H22" s="3"/>
      <c r="I22" s="3">
        <v>16559590.010000005</v>
      </c>
      <c r="J22" s="3">
        <v>14381378.140000001</v>
      </c>
      <c r="K22" s="3">
        <v>61078067.70000007</v>
      </c>
      <c r="L22" s="4"/>
      <c r="M22" s="4"/>
      <c r="N22" s="4"/>
      <c r="O22" s="16">
        <v>231913744.59360006</v>
      </c>
    </row>
    <row r="23" spans="2:15" x14ac:dyDescent="0.2">
      <c r="B23" s="38" t="s">
        <v>22</v>
      </c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17">
        <v>0</v>
      </c>
    </row>
    <row r="24" spans="2:15" ht="10.5" x14ac:dyDescent="0.25">
      <c r="B24" s="36" t="s">
        <v>25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2:15" x14ac:dyDescent="0.2">
      <c r="B25" s="37" t="s">
        <v>21</v>
      </c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4"/>
      <c r="O25" s="16">
        <v>0</v>
      </c>
    </row>
    <row r="26" spans="2:15" x14ac:dyDescent="0.2">
      <c r="B26" s="37" t="s">
        <v>49</v>
      </c>
      <c r="C26" s="3"/>
      <c r="D26" s="3"/>
      <c r="E26" s="3"/>
      <c r="F26" s="3"/>
      <c r="G26" s="3"/>
      <c r="H26" s="3"/>
      <c r="I26" s="3"/>
      <c r="J26" s="3"/>
      <c r="K26" s="4"/>
      <c r="L26" s="4"/>
      <c r="M26" s="4"/>
      <c r="N26" s="4"/>
      <c r="O26" s="16">
        <v>0</v>
      </c>
    </row>
    <row r="27" spans="2:15" x14ac:dyDescent="0.2">
      <c r="B27" s="38" t="s">
        <v>22</v>
      </c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17">
        <v>0</v>
      </c>
    </row>
    <row r="28" spans="2:15" ht="10.5" x14ac:dyDescent="0.25">
      <c r="B28" s="36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2:15" x14ac:dyDescent="0.2">
      <c r="B29" s="37" t="s">
        <v>21</v>
      </c>
      <c r="C29" s="3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16">
        <v>0</v>
      </c>
    </row>
    <row r="30" spans="2:15" x14ac:dyDescent="0.2">
      <c r="B30" s="37" t="s">
        <v>49</v>
      </c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4"/>
      <c r="O30" s="16">
        <v>0</v>
      </c>
    </row>
    <row r="31" spans="2:15" x14ac:dyDescent="0.2">
      <c r="B31" s="38" t="s">
        <v>22</v>
      </c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17">
        <v>0</v>
      </c>
    </row>
    <row r="32" spans="2:15" ht="10.5" x14ac:dyDescent="0.25">
      <c r="B32" s="36" t="s"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2:15" x14ac:dyDescent="0.2">
      <c r="B33" s="37" t="s">
        <v>21</v>
      </c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16">
        <v>0</v>
      </c>
    </row>
    <row r="34" spans="2:15" x14ac:dyDescent="0.2">
      <c r="B34" s="37" t="s">
        <v>49</v>
      </c>
      <c r="C34" s="3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16">
        <v>0</v>
      </c>
    </row>
    <row r="35" spans="2:15" x14ac:dyDescent="0.2">
      <c r="B35" s="38" t="s">
        <v>22</v>
      </c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17">
        <v>0</v>
      </c>
    </row>
    <row r="36" spans="2:15" ht="11" thickBot="1" x14ac:dyDescent="0.3">
      <c r="B36" s="39" t="s">
        <v>2</v>
      </c>
      <c r="C36" s="6">
        <v>55616971428.170067</v>
      </c>
      <c r="D36" s="6">
        <v>24094665776.748745</v>
      </c>
      <c r="E36" s="6">
        <v>28562748034.260044</v>
      </c>
      <c r="F36" s="6">
        <v>15873565082.017723</v>
      </c>
      <c r="G36" s="6">
        <v>0</v>
      </c>
      <c r="H36" s="6">
        <v>0</v>
      </c>
      <c r="I36" s="6">
        <v>18480404578.501083</v>
      </c>
      <c r="J36" s="6">
        <v>23775265609.559971</v>
      </c>
      <c r="K36" s="6">
        <v>76595000096.829941</v>
      </c>
      <c r="L36" s="6">
        <v>0</v>
      </c>
      <c r="M36" s="6">
        <v>0</v>
      </c>
      <c r="N36" s="6">
        <v>0</v>
      </c>
      <c r="O36" s="7">
        <v>242998620606.08752</v>
      </c>
    </row>
    <row r="37" spans="2:15" ht="11" thickTop="1" x14ac:dyDescent="0.25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0.5" x14ac:dyDescent="0.25"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ht="10.5" x14ac:dyDescent="0.2">
      <c r="B39" s="34" t="s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f>SUM(C39:N39)</f>
        <v>0</v>
      </c>
    </row>
    <row r="40" spans="2:15" x14ac:dyDescent="0.25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42" x14ac:dyDescent="0.25">
      <c r="B41" s="35" t="s">
        <v>0</v>
      </c>
      <c r="C41" s="21" t="s">
        <v>16</v>
      </c>
      <c r="D41" s="21" t="s">
        <v>17</v>
      </c>
      <c r="E41" s="21" t="s">
        <v>27</v>
      </c>
      <c r="F41" s="21" t="s">
        <v>28</v>
      </c>
      <c r="G41" s="21" t="s">
        <v>18</v>
      </c>
      <c r="H41" s="21" t="s">
        <v>19</v>
      </c>
      <c r="I41" s="21" t="s">
        <v>12</v>
      </c>
      <c r="J41" s="21" t="s">
        <v>13</v>
      </c>
      <c r="K41" s="21" t="s">
        <v>15</v>
      </c>
      <c r="L41" s="21" t="s">
        <v>14</v>
      </c>
      <c r="M41" s="21" t="s">
        <v>29</v>
      </c>
      <c r="N41" s="21" t="s">
        <v>1</v>
      </c>
      <c r="O41" s="22" t="s">
        <v>2</v>
      </c>
    </row>
    <row r="42" spans="2:15" ht="10.5" x14ac:dyDescent="0.25">
      <c r="B42" s="36" t="s">
        <v>36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2:15" x14ac:dyDescent="0.2">
      <c r="B43" s="37" t="s">
        <v>21</v>
      </c>
      <c r="C43" s="3">
        <v>0</v>
      </c>
      <c r="D43" s="3">
        <v>0</v>
      </c>
      <c r="E43" s="3">
        <v>0</v>
      </c>
      <c r="F43" s="3">
        <v>0</v>
      </c>
      <c r="G43" s="3"/>
      <c r="H43" s="3"/>
      <c r="I43" s="3">
        <v>0</v>
      </c>
      <c r="J43" s="3">
        <v>0</v>
      </c>
      <c r="K43" s="3">
        <v>0</v>
      </c>
      <c r="L43" s="4"/>
      <c r="M43" s="4"/>
      <c r="N43" s="4"/>
      <c r="O43" s="16">
        <v>0</v>
      </c>
    </row>
    <row r="44" spans="2:15" x14ac:dyDescent="0.2">
      <c r="B44" s="37" t="s">
        <v>49</v>
      </c>
      <c r="C44" s="3">
        <v>0</v>
      </c>
      <c r="D44" s="3">
        <v>0</v>
      </c>
      <c r="E44" s="3">
        <v>0</v>
      </c>
      <c r="F44" s="3">
        <v>0</v>
      </c>
      <c r="G44" s="3"/>
      <c r="H44" s="3"/>
      <c r="I44" s="3">
        <v>0</v>
      </c>
      <c r="J44" s="3">
        <v>0</v>
      </c>
      <c r="K44" s="3">
        <v>0</v>
      </c>
      <c r="L44" s="4"/>
      <c r="M44" s="4"/>
      <c r="N44" s="4"/>
      <c r="O44" s="16">
        <v>0</v>
      </c>
    </row>
    <row r="45" spans="2:15" x14ac:dyDescent="0.2">
      <c r="B45" s="38" t="s">
        <v>22</v>
      </c>
      <c r="C45" s="12"/>
      <c r="D45" s="12"/>
      <c r="E45" s="12"/>
      <c r="F45" s="12"/>
      <c r="G45" s="12"/>
      <c r="H45" s="12"/>
      <c r="I45" s="12"/>
      <c r="J45" s="12"/>
      <c r="K45" s="13"/>
      <c r="L45" s="13"/>
      <c r="M45" s="13"/>
      <c r="N45" s="13"/>
      <c r="O45" s="17">
        <v>0</v>
      </c>
    </row>
    <row r="46" spans="2:15" x14ac:dyDescent="0.2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ht="10.5" x14ac:dyDescent="0.2">
      <c r="B48" s="34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f>SUM(C48:N48)</f>
        <v>0</v>
      </c>
    </row>
    <row r="49" spans="2:15" ht="10.5" x14ac:dyDescent="0.25">
      <c r="B49" s="4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2:15" ht="42" x14ac:dyDescent="0.25">
      <c r="B50" s="35" t="s">
        <v>30</v>
      </c>
      <c r="C50" s="21" t="s">
        <v>16</v>
      </c>
      <c r="D50" s="21" t="s">
        <v>17</v>
      </c>
      <c r="E50" s="21" t="s">
        <v>27</v>
      </c>
      <c r="F50" s="21" t="s">
        <v>28</v>
      </c>
      <c r="G50" s="21" t="s">
        <v>18</v>
      </c>
      <c r="H50" s="21" t="s">
        <v>19</v>
      </c>
      <c r="I50" s="21" t="s">
        <v>12</v>
      </c>
      <c r="J50" s="21" t="s">
        <v>13</v>
      </c>
      <c r="K50" s="21" t="s">
        <v>15</v>
      </c>
      <c r="L50" s="21" t="s">
        <v>14</v>
      </c>
      <c r="M50" s="21" t="s">
        <v>29</v>
      </c>
      <c r="N50" s="21" t="s">
        <v>1</v>
      </c>
      <c r="O50" s="22" t="s">
        <v>2</v>
      </c>
    </row>
    <row r="51" spans="2:15" ht="10.5" x14ac:dyDescent="0.25">
      <c r="B51" s="36" t="s">
        <v>31</v>
      </c>
      <c r="C51" s="1">
        <v>62082</v>
      </c>
      <c r="D51" s="1">
        <v>5066</v>
      </c>
      <c r="E51" s="1">
        <v>24027</v>
      </c>
      <c r="F51" s="1">
        <v>4066</v>
      </c>
      <c r="G51" s="1">
        <v>0</v>
      </c>
      <c r="H51" s="1">
        <v>0</v>
      </c>
      <c r="I51" s="1">
        <v>25841</v>
      </c>
      <c r="J51" s="1">
        <v>21725</v>
      </c>
      <c r="K51" s="1">
        <v>59133</v>
      </c>
      <c r="L51" s="1">
        <v>0</v>
      </c>
      <c r="M51" s="1">
        <v>0</v>
      </c>
      <c r="N51" s="1">
        <v>0</v>
      </c>
      <c r="O51" s="1">
        <v>201940</v>
      </c>
    </row>
    <row r="52" spans="2:15" x14ac:dyDescent="0.2">
      <c r="B52" s="37" t="s">
        <v>21</v>
      </c>
      <c r="C52" s="3">
        <v>27497</v>
      </c>
      <c r="D52" s="3">
        <v>608</v>
      </c>
      <c r="E52" s="3">
        <v>11139</v>
      </c>
      <c r="F52" s="3">
        <v>733</v>
      </c>
      <c r="G52" s="3"/>
      <c r="H52" s="3"/>
      <c r="I52" s="3">
        <v>9960</v>
      </c>
      <c r="J52" s="3">
        <v>8925</v>
      </c>
      <c r="K52" s="3">
        <v>23651</v>
      </c>
      <c r="L52" s="4"/>
      <c r="M52" s="4"/>
      <c r="N52" s="4"/>
      <c r="O52" s="16">
        <v>82513</v>
      </c>
    </row>
    <row r="53" spans="2:15" x14ac:dyDescent="0.2">
      <c r="B53" s="37" t="s">
        <v>49</v>
      </c>
      <c r="C53" s="3">
        <v>34585</v>
      </c>
      <c r="D53" s="3">
        <v>4458</v>
      </c>
      <c r="E53" s="3">
        <v>12888</v>
      </c>
      <c r="F53" s="3">
        <v>3333</v>
      </c>
      <c r="G53" s="3"/>
      <c r="H53" s="3"/>
      <c r="I53" s="3">
        <v>15881</v>
      </c>
      <c r="J53" s="3">
        <v>12800</v>
      </c>
      <c r="K53" s="3">
        <v>35482</v>
      </c>
      <c r="L53" s="4"/>
      <c r="M53" s="4"/>
      <c r="N53" s="4"/>
      <c r="O53" s="16">
        <v>119427</v>
      </c>
    </row>
    <row r="54" spans="2:15" x14ac:dyDescent="0.2">
      <c r="B54" s="38" t="s">
        <v>22</v>
      </c>
      <c r="C54" s="12"/>
      <c r="D54" s="12"/>
      <c r="E54" s="12"/>
      <c r="F54" s="12"/>
      <c r="G54" s="12"/>
      <c r="H54" s="12"/>
      <c r="I54" s="12"/>
      <c r="J54" s="12"/>
      <c r="K54" s="13"/>
      <c r="L54" s="13"/>
      <c r="M54" s="13"/>
      <c r="N54" s="13"/>
      <c r="O54" s="17">
        <v>0</v>
      </c>
    </row>
    <row r="55" spans="2:15" ht="10.5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2:15" ht="10.5" x14ac:dyDescent="0.25">
      <c r="B56" s="41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2:15" ht="10.5" x14ac:dyDescent="0.25">
      <c r="B57" s="34" t="s">
        <v>44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4"/>
    </row>
    <row r="58" spans="2:15" ht="10.5" x14ac:dyDescent="0.25">
      <c r="B58" s="4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2:15" ht="42" x14ac:dyDescent="0.25">
      <c r="B59" s="35" t="s">
        <v>9</v>
      </c>
      <c r="C59" s="21" t="s">
        <v>16</v>
      </c>
      <c r="D59" s="21" t="s">
        <v>17</v>
      </c>
      <c r="E59" s="21" t="s">
        <v>27</v>
      </c>
      <c r="F59" s="21" t="s">
        <v>28</v>
      </c>
      <c r="G59" s="21" t="s">
        <v>18</v>
      </c>
      <c r="H59" s="21" t="s">
        <v>19</v>
      </c>
      <c r="I59" s="21" t="s">
        <v>12</v>
      </c>
      <c r="J59" s="21" t="s">
        <v>13</v>
      </c>
      <c r="K59" s="21" t="s">
        <v>15</v>
      </c>
      <c r="L59" s="21" t="s">
        <v>14</v>
      </c>
      <c r="M59" s="21" t="s">
        <v>29</v>
      </c>
      <c r="N59" s="21" t="s">
        <v>1</v>
      </c>
      <c r="O59" s="22" t="s">
        <v>2</v>
      </c>
    </row>
    <row r="60" spans="2:15" ht="10.5" x14ac:dyDescent="0.25">
      <c r="B60" s="3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</row>
    <row r="61" spans="2:15" ht="10.5" x14ac:dyDescent="0.25">
      <c r="B61" s="43" t="s">
        <v>33</v>
      </c>
      <c r="C61" s="9">
        <v>1966999852.4283369</v>
      </c>
      <c r="D61" s="9">
        <v>442817071.55664986</v>
      </c>
      <c r="E61" s="9">
        <v>1513025208.7406666</v>
      </c>
      <c r="F61" s="9">
        <v>827959208.9284271</v>
      </c>
      <c r="G61" s="9">
        <v>0</v>
      </c>
      <c r="H61" s="9">
        <v>0</v>
      </c>
      <c r="I61" s="9">
        <v>607360399.97024715</v>
      </c>
      <c r="J61" s="9">
        <v>1027455911.6082973</v>
      </c>
      <c r="K61" s="9">
        <v>2724924430.1955857</v>
      </c>
      <c r="L61" s="9">
        <v>0</v>
      </c>
      <c r="M61" s="9">
        <v>0</v>
      </c>
      <c r="N61" s="9">
        <v>0</v>
      </c>
      <c r="O61" s="10">
        <v>9110542083.4282112</v>
      </c>
    </row>
    <row r="62" spans="2:15" ht="10.5" x14ac:dyDescent="0.25">
      <c r="B62" s="36" t="s">
        <v>34</v>
      </c>
      <c r="C62" s="1">
        <v>1776505127.4783368</v>
      </c>
      <c r="D62" s="1">
        <v>442817071.55664986</v>
      </c>
      <c r="E62" s="1">
        <v>1476051947.7406666</v>
      </c>
      <c r="F62" s="1">
        <v>827959208.9284271</v>
      </c>
      <c r="G62" s="1">
        <v>0</v>
      </c>
      <c r="H62" s="1">
        <v>0</v>
      </c>
      <c r="I62" s="1">
        <v>468739052.05024707</v>
      </c>
      <c r="J62" s="1">
        <v>1027455911.6082973</v>
      </c>
      <c r="K62" s="1">
        <v>2724924430.1955857</v>
      </c>
      <c r="L62" s="1">
        <v>0</v>
      </c>
      <c r="M62" s="1">
        <v>0</v>
      </c>
      <c r="N62" s="1">
        <v>0</v>
      </c>
      <c r="O62" s="11">
        <v>8744452749.5582104</v>
      </c>
    </row>
    <row r="63" spans="2:15" x14ac:dyDescent="0.2">
      <c r="B63" s="37" t="s">
        <v>21</v>
      </c>
      <c r="C63" s="3">
        <v>674776312.2179085</v>
      </c>
      <c r="D63" s="3">
        <v>58973872.800160691</v>
      </c>
      <c r="E63" s="3">
        <v>886308005.48633134</v>
      </c>
      <c r="F63" s="3">
        <v>52050245.762597412</v>
      </c>
      <c r="G63" s="3"/>
      <c r="H63" s="3"/>
      <c r="I63" s="3">
        <v>141934221.80602133</v>
      </c>
      <c r="J63" s="3">
        <v>325984404.28748697</v>
      </c>
      <c r="K63" s="3">
        <v>806507066.11258113</v>
      </c>
      <c r="L63" s="4"/>
      <c r="M63" s="4"/>
      <c r="N63" s="4"/>
      <c r="O63" s="5">
        <v>2946534128.4730873</v>
      </c>
    </row>
    <row r="64" spans="2:15" x14ac:dyDescent="0.2">
      <c r="B64" s="37" t="s">
        <v>49</v>
      </c>
      <c r="C64" s="3">
        <v>1101728815.2604284</v>
      </c>
      <c r="D64" s="3">
        <v>383843198.75648916</v>
      </c>
      <c r="E64" s="3">
        <v>589743942.25433528</v>
      </c>
      <c r="F64" s="3">
        <v>775908963.16582966</v>
      </c>
      <c r="G64" s="3"/>
      <c r="H64" s="3"/>
      <c r="I64" s="3">
        <v>326804830.24422574</v>
      </c>
      <c r="J64" s="3">
        <v>701471507.32081044</v>
      </c>
      <c r="K64" s="3">
        <v>1918417364.0830045</v>
      </c>
      <c r="L64" s="4"/>
      <c r="M64" s="4"/>
      <c r="N64" s="4"/>
      <c r="O64" s="5">
        <v>5797918621.0851231</v>
      </c>
    </row>
    <row r="65" spans="2:15" x14ac:dyDescent="0.2">
      <c r="B65" s="38" t="s">
        <v>22</v>
      </c>
      <c r="C65" s="12"/>
      <c r="D65" s="12"/>
      <c r="E65" s="12"/>
      <c r="F65" s="12"/>
      <c r="G65" s="12"/>
      <c r="H65" s="12"/>
      <c r="I65" s="12"/>
      <c r="J65" s="12"/>
      <c r="K65" s="13"/>
      <c r="L65" s="13"/>
      <c r="M65" s="13"/>
      <c r="N65" s="13"/>
      <c r="O65" s="14">
        <v>0</v>
      </c>
    </row>
    <row r="66" spans="2:15" ht="10.5" x14ac:dyDescent="0.25">
      <c r="B66" s="36" t="s">
        <v>35</v>
      </c>
      <c r="C66" s="15">
        <v>190494724.95000005</v>
      </c>
      <c r="D66" s="15">
        <v>0</v>
      </c>
      <c r="E66" s="15">
        <v>36973261</v>
      </c>
      <c r="F66" s="15">
        <v>0</v>
      </c>
      <c r="G66" s="15">
        <v>0</v>
      </c>
      <c r="H66" s="15">
        <v>0</v>
      </c>
      <c r="I66" s="15">
        <v>138621347.92000005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2">
        <v>366089333.87000012</v>
      </c>
    </row>
    <row r="67" spans="2:15" x14ac:dyDescent="0.2">
      <c r="B67" s="37" t="s">
        <v>21</v>
      </c>
      <c r="C67" s="3">
        <v>102430458.67999999</v>
      </c>
      <c r="D67" s="3"/>
      <c r="E67" s="3">
        <v>16210092.259999998</v>
      </c>
      <c r="F67" s="3"/>
      <c r="G67" s="3"/>
      <c r="H67" s="3"/>
      <c r="I67" s="3">
        <v>49273151.170000002</v>
      </c>
      <c r="J67" s="3"/>
      <c r="K67" s="3">
        <v>0</v>
      </c>
      <c r="L67" s="4"/>
      <c r="M67" s="4"/>
      <c r="N67" s="4"/>
      <c r="O67" s="5">
        <v>167913702.11000001</v>
      </c>
    </row>
    <row r="68" spans="2:15" x14ac:dyDescent="0.2">
      <c r="B68" s="37" t="s">
        <v>49</v>
      </c>
      <c r="C68" s="3">
        <v>88064266.270000055</v>
      </c>
      <c r="D68" s="3"/>
      <c r="E68" s="3">
        <v>20763168.740000002</v>
      </c>
      <c r="F68" s="3"/>
      <c r="G68" s="3"/>
      <c r="H68" s="3"/>
      <c r="I68" s="3">
        <v>89348196.750000045</v>
      </c>
      <c r="J68" s="3"/>
      <c r="K68" s="3">
        <v>0</v>
      </c>
      <c r="L68" s="4"/>
      <c r="M68" s="4"/>
      <c r="N68" s="4"/>
      <c r="O68" s="5">
        <v>198175631.76000011</v>
      </c>
    </row>
    <row r="69" spans="2:15" x14ac:dyDescent="0.2">
      <c r="B69" s="38" t="s">
        <v>22</v>
      </c>
      <c r="C69" s="12"/>
      <c r="D69" s="12"/>
      <c r="E69" s="12"/>
      <c r="F69" s="12"/>
      <c r="G69" s="12"/>
      <c r="H69" s="12"/>
      <c r="I69" s="12"/>
      <c r="J69" s="12"/>
      <c r="K69" s="13"/>
      <c r="L69" s="13"/>
      <c r="M69" s="13"/>
      <c r="N69" s="13"/>
      <c r="O69" s="14">
        <v>0</v>
      </c>
    </row>
    <row r="70" spans="2:15" x14ac:dyDescent="0.25">
      <c r="B70" s="44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2"/>
      <c r="O70" s="32"/>
    </row>
    <row r="71" spans="2:15" ht="10.5" x14ac:dyDescent="0.25">
      <c r="B71" s="43" t="s">
        <v>11</v>
      </c>
      <c r="C71" s="9">
        <v>2382313661.0705276</v>
      </c>
      <c r="D71" s="9">
        <v>1141381618.5914042</v>
      </c>
      <c r="E71" s="9">
        <v>1057178284.507189</v>
      </c>
      <c r="F71" s="9">
        <v>161423907.80861622</v>
      </c>
      <c r="G71" s="9">
        <v>0</v>
      </c>
      <c r="H71" s="9">
        <v>0</v>
      </c>
      <c r="I71" s="9">
        <v>541419494.00636864</v>
      </c>
      <c r="J71" s="9">
        <v>895049470.09927881</v>
      </c>
      <c r="K71" s="9">
        <v>1936535364.3570583</v>
      </c>
      <c r="L71" s="9">
        <v>0</v>
      </c>
      <c r="M71" s="9">
        <v>0</v>
      </c>
      <c r="N71" s="9">
        <v>0</v>
      </c>
      <c r="O71" s="10">
        <v>8115301800.440443</v>
      </c>
    </row>
    <row r="72" spans="2:15" ht="10.5" x14ac:dyDescent="0.25">
      <c r="B72" s="36" t="s">
        <v>24</v>
      </c>
      <c r="C72" s="1">
        <v>1999731730.5205276</v>
      </c>
      <c r="D72" s="1">
        <v>1141381618.5914042</v>
      </c>
      <c r="E72" s="1">
        <v>1027277667.777189</v>
      </c>
      <c r="F72" s="1">
        <v>161423907.80861622</v>
      </c>
      <c r="G72" s="1">
        <v>0</v>
      </c>
      <c r="H72" s="1">
        <v>0</v>
      </c>
      <c r="I72" s="1">
        <v>541419494.00636864</v>
      </c>
      <c r="J72" s="1">
        <v>895049470.09927881</v>
      </c>
      <c r="K72" s="1">
        <v>847089108.02705812</v>
      </c>
      <c r="L72" s="1">
        <v>0</v>
      </c>
      <c r="M72" s="1">
        <v>0</v>
      </c>
      <c r="N72" s="1">
        <v>0</v>
      </c>
      <c r="O72" s="1">
        <v>6613372996.8304424</v>
      </c>
    </row>
    <row r="73" spans="2:15" x14ac:dyDescent="0.2">
      <c r="B73" s="37" t="s">
        <v>21</v>
      </c>
      <c r="C73" s="3">
        <v>1001301465.350878</v>
      </c>
      <c r="D73" s="3">
        <v>74060383.535434172</v>
      </c>
      <c r="E73" s="3">
        <v>538126473.25641155</v>
      </c>
      <c r="F73" s="3">
        <v>17052776.580257356</v>
      </c>
      <c r="G73" s="3"/>
      <c r="H73" s="3"/>
      <c r="I73" s="3">
        <v>151454673.5589366</v>
      </c>
      <c r="J73" s="3">
        <v>263825934.07767749</v>
      </c>
      <c r="K73" s="3">
        <v>293711245.86352211</v>
      </c>
      <c r="L73" s="4"/>
      <c r="M73" s="4"/>
      <c r="N73" s="4"/>
      <c r="O73" s="16">
        <v>2339532952.2231174</v>
      </c>
    </row>
    <row r="74" spans="2:15" x14ac:dyDescent="0.2">
      <c r="B74" s="37" t="s">
        <v>49</v>
      </c>
      <c r="C74" s="3">
        <v>998430265.1696496</v>
      </c>
      <c r="D74" s="3">
        <v>1067321235.0559701</v>
      </c>
      <c r="E74" s="3">
        <v>489151194.5207774</v>
      </c>
      <c r="F74" s="3">
        <v>144371131.22835886</v>
      </c>
      <c r="G74" s="3"/>
      <c r="H74" s="3"/>
      <c r="I74" s="3">
        <v>389964820.44743204</v>
      </c>
      <c r="J74" s="3">
        <v>631223536.02160132</v>
      </c>
      <c r="K74" s="3">
        <v>553377862.16353595</v>
      </c>
      <c r="L74" s="4"/>
      <c r="M74" s="4"/>
      <c r="N74" s="4"/>
      <c r="O74" s="16">
        <v>4273840044.6073251</v>
      </c>
    </row>
    <row r="75" spans="2:15" x14ac:dyDescent="0.2">
      <c r="B75" s="38" t="s">
        <v>22</v>
      </c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17">
        <v>0</v>
      </c>
    </row>
    <row r="76" spans="2:15" ht="10.5" x14ac:dyDescent="0.25">
      <c r="B76" s="36" t="s">
        <v>10</v>
      </c>
      <c r="C76" s="1">
        <v>382581930.55000001</v>
      </c>
      <c r="D76" s="1">
        <v>0</v>
      </c>
      <c r="E76" s="1">
        <v>29900616.729999989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1089446256.3300002</v>
      </c>
      <c r="L76" s="1">
        <v>0</v>
      </c>
      <c r="M76" s="1">
        <v>0</v>
      </c>
      <c r="N76" s="1">
        <v>0</v>
      </c>
      <c r="O76" s="1">
        <v>1501928803.6100001</v>
      </c>
    </row>
    <row r="77" spans="2:15" x14ac:dyDescent="0.2">
      <c r="B77" s="37" t="s">
        <v>21</v>
      </c>
      <c r="C77" s="3">
        <v>121643268.17</v>
      </c>
      <c r="D77" s="3"/>
      <c r="E77" s="3">
        <v>10324770.630000001</v>
      </c>
      <c r="F77" s="3"/>
      <c r="G77" s="3"/>
      <c r="H77" s="3"/>
      <c r="I77" s="3">
        <v>0</v>
      </c>
      <c r="J77" s="3">
        <v>0</v>
      </c>
      <c r="K77" s="3">
        <v>383683796.95999992</v>
      </c>
      <c r="L77" s="4"/>
      <c r="M77" s="4"/>
      <c r="N77" s="4"/>
      <c r="O77" s="16">
        <v>515651835.75999993</v>
      </c>
    </row>
    <row r="78" spans="2:15" x14ac:dyDescent="0.2">
      <c r="B78" s="37" t="s">
        <v>49</v>
      </c>
      <c r="C78" s="3">
        <v>260938662.38000003</v>
      </c>
      <c r="D78" s="3"/>
      <c r="E78" s="3">
        <v>19575846.099999987</v>
      </c>
      <c r="F78" s="3"/>
      <c r="G78" s="3"/>
      <c r="H78" s="3"/>
      <c r="I78" s="3">
        <v>0</v>
      </c>
      <c r="J78" s="3">
        <v>0</v>
      </c>
      <c r="K78" s="3">
        <v>705762459.37000024</v>
      </c>
      <c r="L78" s="4"/>
      <c r="M78" s="4"/>
      <c r="N78" s="4"/>
      <c r="O78" s="16">
        <v>986276967.85000026</v>
      </c>
    </row>
    <row r="79" spans="2:15" x14ac:dyDescent="0.2">
      <c r="B79" s="38" t="s">
        <v>22</v>
      </c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17">
        <v>0</v>
      </c>
    </row>
    <row r="80" spans="2:15" ht="11" thickBot="1" x14ac:dyDescent="0.3">
      <c r="B80" s="39" t="s">
        <v>38</v>
      </c>
      <c r="C80" s="6">
        <v>-415313808.64219069</v>
      </c>
      <c r="D80" s="6">
        <v>-698564547.03475428</v>
      </c>
      <c r="E80" s="6">
        <v>455846924.23347759</v>
      </c>
      <c r="F80" s="6">
        <v>666535301.11981082</v>
      </c>
      <c r="G80" s="6">
        <v>0</v>
      </c>
      <c r="H80" s="6">
        <v>0</v>
      </c>
      <c r="I80" s="6">
        <v>65940905.963878512</v>
      </c>
      <c r="J80" s="6">
        <v>132406441.50901854</v>
      </c>
      <c r="K80" s="6">
        <v>788389065.83852744</v>
      </c>
      <c r="L80" s="6">
        <v>0</v>
      </c>
      <c r="M80" s="6">
        <v>0</v>
      </c>
      <c r="N80" s="6">
        <v>0</v>
      </c>
      <c r="O80" s="7">
        <v>995240282.98776793</v>
      </c>
    </row>
    <row r="81" spans="2:15" ht="10.5" thickTop="1" x14ac:dyDescent="0.25">
      <c r="B81" s="4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ht="11" thickBot="1" x14ac:dyDescent="0.3">
      <c r="B82" s="46" t="s">
        <v>32</v>
      </c>
      <c r="C82" s="48">
        <v>370057789</v>
      </c>
      <c r="D82" s="48">
        <v>633811.49171532795</v>
      </c>
      <c r="E82" s="48">
        <v>64713226.640000001</v>
      </c>
      <c r="F82" s="48">
        <v>487163.34085115814</v>
      </c>
      <c r="G82" s="48"/>
      <c r="H82" s="48"/>
      <c r="I82" s="48">
        <v>89430798.480000004</v>
      </c>
      <c r="J82" s="48">
        <v>120422846.75</v>
      </c>
      <c r="K82" s="48">
        <v>364727625.26999992</v>
      </c>
      <c r="L82" s="48"/>
      <c r="M82" s="48"/>
      <c r="N82" s="48"/>
      <c r="O82" s="7">
        <v>1010473260.9725664</v>
      </c>
    </row>
    <row r="83" spans="2:15" ht="10.5" thickTop="1" x14ac:dyDescent="0.25"/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DF47-06BE-41EB-A536-3B05DD08EFB1}">
  <sheetPr>
    <pageSetUpPr fitToPage="1"/>
  </sheetPr>
  <dimension ref="B1:O82"/>
  <sheetViews>
    <sheetView showGridLines="0" topLeftCell="B1" zoomScale="86" zoomScaleNormal="86" workbookViewId="0">
      <selection activeCell="E10" sqref="E10"/>
    </sheetView>
  </sheetViews>
  <sheetFormatPr defaultColWidth="9.1796875" defaultRowHeight="10" x14ac:dyDescent="0.25"/>
  <cols>
    <col min="1" max="1" width="2.81640625" style="33" customWidth="1"/>
    <col min="2" max="2" width="47" style="33" customWidth="1"/>
    <col min="3" max="3" width="17.54296875" style="19" customWidth="1"/>
    <col min="4" max="4" width="16.26953125" style="19" customWidth="1"/>
    <col min="5" max="5" width="14.453125" style="19" customWidth="1"/>
    <col min="6" max="6" width="15.7265625" style="19" customWidth="1"/>
    <col min="7" max="8" width="16.54296875" style="19" customWidth="1"/>
    <col min="9" max="9" width="15.1796875" style="19" customWidth="1"/>
    <col min="10" max="10" width="17.26953125" style="19" customWidth="1"/>
    <col min="11" max="11" width="18" style="19" customWidth="1"/>
    <col min="12" max="12" width="12.81640625" style="19" customWidth="1"/>
    <col min="13" max="13" width="14" style="19" customWidth="1"/>
    <col min="14" max="14" width="14.54296875" style="19" customWidth="1"/>
    <col min="15" max="15" width="15.7265625" style="19" customWidth="1"/>
    <col min="16" max="16" width="2.81640625" style="33" customWidth="1"/>
    <col min="17" max="16384" width="9.1796875" style="33"/>
  </cols>
  <sheetData>
    <row r="1" spans="2:15" ht="10.5" x14ac:dyDescent="0.25">
      <c r="B1" s="41" t="s">
        <v>39</v>
      </c>
      <c r="C1" s="18"/>
      <c r="D1" s="18"/>
      <c r="E1" s="18"/>
      <c r="F1" s="18"/>
      <c r="G1" s="18"/>
    </row>
    <row r="2" spans="2:15" ht="10.5" x14ac:dyDescent="0.25">
      <c r="B2" s="34" t="s">
        <v>42</v>
      </c>
      <c r="C2" s="20"/>
      <c r="D2" s="20"/>
    </row>
    <row r="5" spans="2:15" ht="10.5" x14ac:dyDescent="0.25">
      <c r="B5" s="49" t="s">
        <v>40</v>
      </c>
    </row>
    <row r="7" spans="2:15" ht="42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15" ht="10.5" x14ac:dyDescent="0.25">
      <c r="B8" s="36" t="s">
        <v>3</v>
      </c>
      <c r="C8" s="1">
        <f>SUM(C9:C11)</f>
        <v>75448608284.009995</v>
      </c>
      <c r="D8" s="1">
        <f t="shared" ref="D8:N8" si="0">SUM(D9:D11)</f>
        <v>0</v>
      </c>
      <c r="E8" s="1">
        <f t="shared" si="0"/>
        <v>12676795842.920002</v>
      </c>
      <c r="F8" s="1">
        <f t="shared" si="0"/>
        <v>0</v>
      </c>
      <c r="G8" s="1">
        <f t="shared" si="0"/>
        <v>0</v>
      </c>
      <c r="H8" s="1">
        <f t="shared" si="0"/>
        <v>2899922430.6399999</v>
      </c>
      <c r="I8" s="1">
        <f t="shared" si="0"/>
        <v>21797871219.969997</v>
      </c>
      <c r="J8" s="1">
        <f t="shared" si="0"/>
        <v>21988767017.849998</v>
      </c>
      <c r="K8" s="1">
        <f t="shared" si="0"/>
        <v>60463414823.580002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ref="O8:O36" si="1">SUM(C8:N8)</f>
        <v>195275379618.96997</v>
      </c>
    </row>
    <row r="9" spans="2:15" x14ac:dyDescent="0.2">
      <c r="B9" s="37" t="s">
        <v>21</v>
      </c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16">
        <f t="shared" si="1"/>
        <v>0</v>
      </c>
    </row>
    <row r="10" spans="2:15" x14ac:dyDescent="0.2">
      <c r="B10" s="37" t="s">
        <v>23</v>
      </c>
      <c r="C10" s="3">
        <f>89469282143-17190799481.69</f>
        <v>72278482661.309998</v>
      </c>
      <c r="D10" s="3"/>
      <c r="E10" s="3">
        <f>15375375270-2958363241.87</f>
        <v>12417012028.130001</v>
      </c>
      <c r="F10" s="3"/>
      <c r="G10" s="3"/>
      <c r="H10" s="3">
        <f>3119935061.22-487578483.54</f>
        <v>2632356577.6799998</v>
      </c>
      <c r="I10" s="3">
        <f>28104762680-7521021272.65</f>
        <v>20583741407.349998</v>
      </c>
      <c r="J10" s="3">
        <f>27317872744-7024710865.18</f>
        <v>20293161878.82</v>
      </c>
      <c r="K10" s="4">
        <f>79357563171-21040746071.83</f>
        <v>58316817099.169998</v>
      </c>
      <c r="L10" s="4"/>
      <c r="M10" s="4"/>
      <c r="N10" s="4"/>
      <c r="O10" s="16">
        <f t="shared" si="1"/>
        <v>186521571652.46002</v>
      </c>
    </row>
    <row r="11" spans="2:15" x14ac:dyDescent="0.2">
      <c r="B11" s="38" t="s">
        <v>22</v>
      </c>
      <c r="C11" s="3">
        <f>3175539390.25-5413767.55</f>
        <v>3170125622.6999998</v>
      </c>
      <c r="D11" s="3"/>
      <c r="E11" s="3">
        <v>259783814.78999999</v>
      </c>
      <c r="F11" s="3"/>
      <c r="G11" s="3"/>
      <c r="H11" s="3">
        <f>268021101.56-455248.6</f>
        <v>267565852.96000001</v>
      </c>
      <c r="I11" s="3">
        <f>1215125888.61-996075.99</f>
        <v>1214129812.6199999</v>
      </c>
      <c r="J11" s="3">
        <f>1699393420.86-3788281.83</f>
        <v>1695605139.03</v>
      </c>
      <c r="K11" s="4">
        <f>2159084204.38-12486479.97</f>
        <v>2146597724.4100001</v>
      </c>
      <c r="L11" s="4"/>
      <c r="M11" s="4"/>
      <c r="N11" s="4"/>
      <c r="O11" s="17">
        <f t="shared" si="1"/>
        <v>8753807966.5100002</v>
      </c>
    </row>
    <row r="12" spans="2:15" ht="10.5" x14ac:dyDescent="0.25">
      <c r="B12" s="36" t="s">
        <v>4</v>
      </c>
      <c r="C12" s="1">
        <f t="shared" ref="C12:N12" si="2">SUM(C13:C15)</f>
        <v>0</v>
      </c>
      <c r="D12" s="1">
        <f t="shared" si="2"/>
        <v>9359216143.1700001</v>
      </c>
      <c r="E12" s="1">
        <f t="shared" si="2"/>
        <v>0</v>
      </c>
      <c r="F12" s="1">
        <f t="shared" si="2"/>
        <v>15089916107.570002</v>
      </c>
      <c r="G12" s="1">
        <f t="shared" si="2"/>
        <v>0</v>
      </c>
      <c r="H12" s="1">
        <f t="shared" si="2"/>
        <v>0</v>
      </c>
      <c r="I12" s="1">
        <f t="shared" si="2"/>
        <v>61418664.090000004</v>
      </c>
      <c r="J12" s="1">
        <f t="shared" si="2"/>
        <v>150838593.28999999</v>
      </c>
      <c r="K12" s="1">
        <f t="shared" si="2"/>
        <v>944148708</v>
      </c>
      <c r="L12" s="1">
        <f t="shared" si="2"/>
        <v>0</v>
      </c>
      <c r="M12" s="1">
        <f t="shared" si="2"/>
        <v>0</v>
      </c>
      <c r="N12" s="1">
        <f t="shared" si="2"/>
        <v>0</v>
      </c>
      <c r="O12" s="1">
        <f t="shared" si="1"/>
        <v>25605538216.120003</v>
      </c>
    </row>
    <row r="13" spans="2:15" x14ac:dyDescent="0.2">
      <c r="B13" s="37" t="s">
        <v>21</v>
      </c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  <c r="N13" s="4"/>
      <c r="O13" s="16">
        <f t="shared" si="1"/>
        <v>0</v>
      </c>
    </row>
    <row r="14" spans="2:15" x14ac:dyDescent="0.2">
      <c r="B14" s="37" t="s">
        <v>23</v>
      </c>
      <c r="C14" s="3"/>
      <c r="D14" s="3">
        <f>12445060526-3362865928.83</f>
        <v>9082194597.1700001</v>
      </c>
      <c r="E14" s="3"/>
      <c r="F14" s="3">
        <f>21581700031-6494626644.44</f>
        <v>15087073386.560001</v>
      </c>
      <c r="G14" s="3"/>
      <c r="H14" s="3"/>
      <c r="I14" s="3">
        <v>60832902</v>
      </c>
      <c r="J14" s="3">
        <v>149868504</v>
      </c>
      <c r="K14" s="4">
        <v>930967752</v>
      </c>
      <c r="L14" s="4"/>
      <c r="M14" s="4"/>
      <c r="N14" s="4"/>
      <c r="O14" s="16">
        <f t="shared" si="1"/>
        <v>25310937141.730003</v>
      </c>
    </row>
    <row r="15" spans="2:15" x14ac:dyDescent="0.2">
      <c r="B15" s="38" t="s">
        <v>22</v>
      </c>
      <c r="C15" s="3"/>
      <c r="D15" s="3">
        <f>277034739-13193</f>
        <v>277021546</v>
      </c>
      <c r="E15" s="3"/>
      <c r="F15" s="3">
        <v>2842721.01</v>
      </c>
      <c r="G15" s="3"/>
      <c r="H15" s="3"/>
      <c r="I15" s="3">
        <v>585762.09</v>
      </c>
      <c r="J15" s="3">
        <v>970089.29</v>
      </c>
      <c r="K15" s="4">
        <v>13180956</v>
      </c>
      <c r="L15" s="4"/>
      <c r="M15" s="4"/>
      <c r="N15" s="4"/>
      <c r="O15" s="17">
        <f t="shared" si="1"/>
        <v>294601074.38999999</v>
      </c>
    </row>
    <row r="16" spans="2:15" ht="10.5" x14ac:dyDescent="0.25">
      <c r="B16" s="36" t="s">
        <v>5</v>
      </c>
      <c r="C16" s="1">
        <f t="shared" ref="C16:N16" si="3">SUM(C17:C19)</f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0</v>
      </c>
      <c r="I16" s="1">
        <f t="shared" si="3"/>
        <v>13417483.52</v>
      </c>
      <c r="J16" s="1">
        <f t="shared" si="3"/>
        <v>27746755.609999999</v>
      </c>
      <c r="K16" s="1">
        <f t="shared" si="3"/>
        <v>133354330.91</v>
      </c>
      <c r="L16" s="1">
        <f t="shared" si="3"/>
        <v>0</v>
      </c>
      <c r="M16" s="1">
        <f t="shared" si="3"/>
        <v>0</v>
      </c>
      <c r="N16" s="1">
        <f t="shared" si="3"/>
        <v>0</v>
      </c>
      <c r="O16" s="1">
        <f t="shared" si="1"/>
        <v>174518570.03999999</v>
      </c>
    </row>
    <row r="17" spans="2:15" x14ac:dyDescent="0.2">
      <c r="B17" s="37" t="s">
        <v>21</v>
      </c>
      <c r="C17" s="3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16">
        <f t="shared" si="1"/>
        <v>0</v>
      </c>
    </row>
    <row r="18" spans="2:15" x14ac:dyDescent="0.2">
      <c r="B18" s="37" t="s">
        <v>23</v>
      </c>
      <c r="C18" s="3"/>
      <c r="D18" s="3"/>
      <c r="E18" s="3"/>
      <c r="F18" s="3"/>
      <c r="G18" s="3"/>
      <c r="H18" s="3"/>
      <c r="I18" s="3">
        <v>1088217</v>
      </c>
      <c r="J18" s="3">
        <v>15979860</v>
      </c>
      <c r="K18" s="4">
        <f>115504474-207428.93</f>
        <v>115297045.06999999</v>
      </c>
      <c r="L18" s="4"/>
      <c r="M18" s="4"/>
      <c r="N18" s="4"/>
      <c r="O18" s="16">
        <f t="shared" si="1"/>
        <v>132365122.06999999</v>
      </c>
    </row>
    <row r="19" spans="2:15" x14ac:dyDescent="0.2">
      <c r="B19" s="38" t="s">
        <v>22</v>
      </c>
      <c r="C19" s="3"/>
      <c r="D19" s="3"/>
      <c r="E19" s="3"/>
      <c r="F19" s="3"/>
      <c r="G19" s="3"/>
      <c r="H19" s="3"/>
      <c r="I19" s="3">
        <v>12329266.52</v>
      </c>
      <c r="J19" s="3">
        <v>11766895.609999999</v>
      </c>
      <c r="K19" s="4">
        <v>18057285.84</v>
      </c>
      <c r="L19" s="4"/>
      <c r="M19" s="4"/>
      <c r="N19" s="4"/>
      <c r="O19" s="17">
        <f t="shared" si="1"/>
        <v>42153447.969999999</v>
      </c>
    </row>
    <row r="20" spans="2:15" ht="10.5" x14ac:dyDescent="0.25">
      <c r="B20" s="36" t="s">
        <v>6</v>
      </c>
      <c r="C20" s="1">
        <f t="shared" ref="C20:N20" si="4">SUM(C21:C23)</f>
        <v>0</v>
      </c>
      <c r="D20" s="1">
        <f t="shared" si="4"/>
        <v>0</v>
      </c>
      <c r="E20" s="1">
        <f t="shared" si="4"/>
        <v>0</v>
      </c>
      <c r="F20" s="1">
        <f t="shared" si="4"/>
        <v>0</v>
      </c>
      <c r="G20" s="1">
        <f t="shared" si="4"/>
        <v>0</v>
      </c>
      <c r="H20" s="1">
        <f t="shared" si="4"/>
        <v>0</v>
      </c>
      <c r="I20" s="1">
        <f t="shared" si="4"/>
        <v>0</v>
      </c>
      <c r="J20" s="1">
        <f t="shared" si="4"/>
        <v>0</v>
      </c>
      <c r="K20" s="1">
        <f t="shared" si="4"/>
        <v>0</v>
      </c>
      <c r="L20" s="1">
        <f t="shared" si="4"/>
        <v>0</v>
      </c>
      <c r="M20" s="1">
        <f t="shared" si="4"/>
        <v>0</v>
      </c>
      <c r="N20" s="1">
        <f t="shared" si="4"/>
        <v>0</v>
      </c>
      <c r="O20" s="1">
        <f t="shared" si="1"/>
        <v>0</v>
      </c>
    </row>
    <row r="21" spans="2:15" x14ac:dyDescent="0.2">
      <c r="B21" s="37" t="s">
        <v>21</v>
      </c>
      <c r="C21" s="3"/>
      <c r="D21" s="3"/>
      <c r="E21" s="3"/>
      <c r="F21" s="3"/>
      <c r="G21" s="3"/>
      <c r="H21" s="3"/>
      <c r="I21" s="3"/>
      <c r="J21" s="3"/>
      <c r="K21" s="4"/>
      <c r="L21" s="4"/>
      <c r="M21" s="4"/>
      <c r="N21" s="4"/>
      <c r="O21" s="16">
        <f t="shared" si="1"/>
        <v>0</v>
      </c>
    </row>
    <row r="22" spans="2:15" x14ac:dyDescent="0.2">
      <c r="B22" s="37" t="s">
        <v>23</v>
      </c>
      <c r="C22" s="3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16">
        <f t="shared" si="1"/>
        <v>0</v>
      </c>
    </row>
    <row r="23" spans="2:15" x14ac:dyDescent="0.2">
      <c r="B23" s="38" t="s">
        <v>22</v>
      </c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17">
        <f t="shared" si="1"/>
        <v>0</v>
      </c>
    </row>
    <row r="24" spans="2:15" ht="10.5" x14ac:dyDescent="0.25">
      <c r="B24" s="36" t="s">
        <v>25</v>
      </c>
      <c r="C24" s="1">
        <f t="shared" ref="C24:N24" si="5">SUM(C25:C27)</f>
        <v>169523445</v>
      </c>
      <c r="D24" s="1">
        <f t="shared" si="5"/>
        <v>0</v>
      </c>
      <c r="E24" s="1">
        <f t="shared" si="5"/>
        <v>625980259</v>
      </c>
      <c r="F24" s="1">
        <f t="shared" si="5"/>
        <v>0</v>
      </c>
      <c r="G24" s="1">
        <f t="shared" si="5"/>
        <v>0</v>
      </c>
      <c r="H24" s="1">
        <f t="shared" si="5"/>
        <v>0</v>
      </c>
      <c r="I24" s="1">
        <f t="shared" si="5"/>
        <v>543552315.13999999</v>
      </c>
      <c r="J24" s="1">
        <f t="shared" si="5"/>
        <v>940949334.13</v>
      </c>
      <c r="K24" s="1">
        <f t="shared" si="5"/>
        <v>3505866213.1800003</v>
      </c>
      <c r="L24" s="1">
        <f t="shared" si="5"/>
        <v>0</v>
      </c>
      <c r="M24" s="1">
        <f t="shared" si="5"/>
        <v>0</v>
      </c>
      <c r="N24" s="1">
        <f t="shared" si="5"/>
        <v>0</v>
      </c>
      <c r="O24" s="1">
        <f t="shared" si="1"/>
        <v>5785871566.4500008</v>
      </c>
    </row>
    <row r="25" spans="2:15" x14ac:dyDescent="0.2">
      <c r="B25" s="37" t="s">
        <v>21</v>
      </c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4"/>
      <c r="O25" s="16">
        <f t="shared" si="1"/>
        <v>0</v>
      </c>
    </row>
    <row r="26" spans="2:15" x14ac:dyDescent="0.2">
      <c r="B26" s="37" t="s">
        <v>23</v>
      </c>
      <c r="C26" s="3">
        <v>169523445</v>
      </c>
      <c r="D26" s="3"/>
      <c r="E26" s="3">
        <v>625980259</v>
      </c>
      <c r="F26" s="3"/>
      <c r="G26" s="3"/>
      <c r="H26" s="3"/>
      <c r="I26" s="3">
        <v>539323694</v>
      </c>
      <c r="J26" s="3">
        <v>935157072</v>
      </c>
      <c r="K26" s="4">
        <f>3456778683-2227385.62</f>
        <v>3454551297.3800001</v>
      </c>
      <c r="L26" s="4"/>
      <c r="M26" s="4"/>
      <c r="N26" s="4"/>
      <c r="O26" s="16">
        <f t="shared" si="1"/>
        <v>5724535767.3800001</v>
      </c>
    </row>
    <row r="27" spans="2:15" x14ac:dyDescent="0.2">
      <c r="B27" s="38" t="s">
        <v>22</v>
      </c>
      <c r="C27" s="3"/>
      <c r="D27" s="3"/>
      <c r="E27" s="3"/>
      <c r="F27" s="3"/>
      <c r="G27" s="3"/>
      <c r="H27" s="3"/>
      <c r="I27" s="3">
        <v>4228621.1399999997</v>
      </c>
      <c r="J27" s="3">
        <v>5792262.1299999999</v>
      </c>
      <c r="K27" s="4">
        <v>51314915.799999997</v>
      </c>
      <c r="L27" s="4"/>
      <c r="M27" s="4"/>
      <c r="N27" s="4"/>
      <c r="O27" s="17">
        <f t="shared" si="1"/>
        <v>61335799.069999993</v>
      </c>
    </row>
    <row r="28" spans="2:15" ht="10.5" x14ac:dyDescent="0.25">
      <c r="B28" s="36" t="s">
        <v>26</v>
      </c>
      <c r="C28" s="1">
        <f t="shared" ref="C28:N28" si="6">SUM(C29:C31)</f>
        <v>0</v>
      </c>
      <c r="D28" s="1">
        <f t="shared" si="6"/>
        <v>0</v>
      </c>
      <c r="E28" s="1">
        <f t="shared" si="6"/>
        <v>0</v>
      </c>
      <c r="F28" s="1">
        <f t="shared" si="6"/>
        <v>364587060.92000002</v>
      </c>
      <c r="G28" s="1">
        <f t="shared" si="6"/>
        <v>0</v>
      </c>
      <c r="H28" s="1">
        <f t="shared" si="6"/>
        <v>0</v>
      </c>
      <c r="I28" s="1">
        <f t="shared" si="6"/>
        <v>0</v>
      </c>
      <c r="J28" s="1">
        <f t="shared" si="6"/>
        <v>0</v>
      </c>
      <c r="K28" s="1">
        <f t="shared" si="6"/>
        <v>0</v>
      </c>
      <c r="L28" s="1">
        <f t="shared" si="6"/>
        <v>0</v>
      </c>
      <c r="M28" s="1">
        <f t="shared" si="6"/>
        <v>0</v>
      </c>
      <c r="N28" s="1">
        <f t="shared" si="6"/>
        <v>0</v>
      </c>
      <c r="O28" s="1">
        <f t="shared" si="1"/>
        <v>364587060.92000002</v>
      </c>
    </row>
    <row r="29" spans="2:15" x14ac:dyDescent="0.2">
      <c r="B29" s="37" t="s">
        <v>21</v>
      </c>
      <c r="C29" s="3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16">
        <f t="shared" si="1"/>
        <v>0</v>
      </c>
    </row>
    <row r="30" spans="2:15" x14ac:dyDescent="0.2">
      <c r="B30" s="37" t="s">
        <v>23</v>
      </c>
      <c r="C30" s="3"/>
      <c r="D30" s="3"/>
      <c r="E30" s="3"/>
      <c r="F30" s="3">
        <v>70830609</v>
      </c>
      <c r="G30" s="3"/>
      <c r="H30" s="3"/>
      <c r="I30" s="3"/>
      <c r="J30" s="3"/>
      <c r="K30" s="4"/>
      <c r="L30" s="4"/>
      <c r="M30" s="4"/>
      <c r="N30" s="4"/>
      <c r="O30" s="16">
        <f t="shared" si="1"/>
        <v>70830609</v>
      </c>
    </row>
    <row r="31" spans="2:15" x14ac:dyDescent="0.2">
      <c r="B31" s="38" t="s">
        <v>22</v>
      </c>
      <c r="C31" s="3"/>
      <c r="D31" s="3"/>
      <c r="E31" s="3"/>
      <c r="F31" s="3">
        <f>314022786.57-20266334.65</f>
        <v>293756451.92000002</v>
      </c>
      <c r="G31" s="3"/>
      <c r="H31" s="3"/>
      <c r="I31" s="3"/>
      <c r="J31" s="3"/>
      <c r="K31" s="4"/>
      <c r="L31" s="4"/>
      <c r="M31" s="4"/>
      <c r="N31" s="4"/>
      <c r="O31" s="17">
        <f t="shared" si="1"/>
        <v>293756451.92000002</v>
      </c>
    </row>
    <row r="32" spans="2:15" ht="10.5" x14ac:dyDescent="0.25">
      <c r="B32" s="36" t="s">
        <v>7</v>
      </c>
      <c r="C32" s="1">
        <f t="shared" ref="C32:N32" si="7">SUM(C33:C35)</f>
        <v>32216087.880000003</v>
      </c>
      <c r="D32" s="1">
        <f t="shared" si="7"/>
        <v>13499246.859999999</v>
      </c>
      <c r="E32" s="1">
        <f t="shared" si="7"/>
        <v>2583454.21</v>
      </c>
      <c r="F32" s="1">
        <f t="shared" si="7"/>
        <v>0</v>
      </c>
      <c r="G32" s="1">
        <f t="shared" si="7"/>
        <v>0</v>
      </c>
      <c r="H32" s="1">
        <f t="shared" si="7"/>
        <v>1485941.65</v>
      </c>
      <c r="I32" s="1">
        <f t="shared" si="7"/>
        <v>8034191.1699999999</v>
      </c>
      <c r="J32" s="1">
        <f t="shared" si="7"/>
        <v>5415587.8899999997</v>
      </c>
      <c r="K32" s="1">
        <f t="shared" si="7"/>
        <v>57274464.970000006</v>
      </c>
      <c r="L32" s="1">
        <f t="shared" si="7"/>
        <v>0</v>
      </c>
      <c r="M32" s="1">
        <f t="shared" si="7"/>
        <v>0</v>
      </c>
      <c r="N32" s="1">
        <f t="shared" si="7"/>
        <v>0</v>
      </c>
      <c r="O32" s="1">
        <f t="shared" si="1"/>
        <v>120508974.63000001</v>
      </c>
    </row>
    <row r="33" spans="2:15" x14ac:dyDescent="0.2">
      <c r="B33" s="37" t="s">
        <v>21</v>
      </c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16">
        <f t="shared" si="1"/>
        <v>0</v>
      </c>
    </row>
    <row r="34" spans="2:15" x14ac:dyDescent="0.2">
      <c r="B34" s="37" t="s">
        <v>23</v>
      </c>
      <c r="C34" s="3">
        <v>32106548.870000001</v>
      </c>
      <c r="D34" s="3">
        <v>13499246.859999999</v>
      </c>
      <c r="E34" s="3">
        <v>2583454.21</v>
      </c>
      <c r="F34" s="3"/>
      <c r="G34" s="3"/>
      <c r="H34" s="3">
        <v>1485941.65</v>
      </c>
      <c r="I34" s="3"/>
      <c r="J34" s="3">
        <v>5276751.5</v>
      </c>
      <c r="K34" s="4">
        <v>56310528.090000004</v>
      </c>
      <c r="L34" s="4"/>
      <c r="M34" s="4"/>
      <c r="N34" s="4"/>
      <c r="O34" s="16">
        <f t="shared" si="1"/>
        <v>111262471.18000001</v>
      </c>
    </row>
    <row r="35" spans="2:15" x14ac:dyDescent="0.2">
      <c r="B35" s="38" t="s">
        <v>22</v>
      </c>
      <c r="C35" s="3">
        <v>109539.01</v>
      </c>
      <c r="D35" s="3"/>
      <c r="E35" s="3"/>
      <c r="F35" s="3"/>
      <c r="G35" s="3"/>
      <c r="H35" s="3"/>
      <c r="I35" s="3">
        <v>8034191.1699999999</v>
      </c>
      <c r="J35" s="3">
        <v>138836.39000000001</v>
      </c>
      <c r="K35" s="4">
        <v>963936.88</v>
      </c>
      <c r="L35" s="4"/>
      <c r="M35" s="4"/>
      <c r="N35" s="4"/>
      <c r="O35" s="17">
        <f t="shared" si="1"/>
        <v>9246503.4499999993</v>
      </c>
    </row>
    <row r="36" spans="2:15" ht="11" thickBot="1" x14ac:dyDescent="0.3">
      <c r="B36" s="39" t="s">
        <v>2</v>
      </c>
      <c r="C36" s="6">
        <f>SUM(C32,C28,C24,C20,C16,C12,C8)</f>
        <v>75650347816.889999</v>
      </c>
      <c r="D36" s="6">
        <f t="shared" ref="D36:N36" si="8">SUM(D32,D28,D24,D20,D16,D12,D8)</f>
        <v>9372715390.0300007</v>
      </c>
      <c r="E36" s="6">
        <f t="shared" si="8"/>
        <v>13305359556.130001</v>
      </c>
      <c r="F36" s="6">
        <f t="shared" si="8"/>
        <v>15454503168.490002</v>
      </c>
      <c r="G36" s="6">
        <f t="shared" si="8"/>
        <v>0</v>
      </c>
      <c r="H36" s="6">
        <f t="shared" si="8"/>
        <v>2901408372.29</v>
      </c>
      <c r="I36" s="6">
        <f t="shared" si="8"/>
        <v>22424293873.889996</v>
      </c>
      <c r="J36" s="6">
        <f t="shared" si="8"/>
        <v>23113717288.769997</v>
      </c>
      <c r="K36" s="6">
        <f t="shared" si="8"/>
        <v>65104058540.639999</v>
      </c>
      <c r="L36" s="6">
        <f>SUM(L32,L28,L24,L20,L16,L12,L8)</f>
        <v>0</v>
      </c>
      <c r="M36" s="6">
        <f t="shared" si="8"/>
        <v>0</v>
      </c>
      <c r="N36" s="6">
        <f t="shared" si="8"/>
        <v>0</v>
      </c>
      <c r="O36" s="7">
        <f t="shared" si="1"/>
        <v>227326404007.13</v>
      </c>
    </row>
    <row r="37" spans="2:15" ht="11" thickTop="1" x14ac:dyDescent="0.25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0.5" x14ac:dyDescent="0.25"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ht="10.5" x14ac:dyDescent="0.2">
      <c r="B39" s="49" t="s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f>SUM(C39:N39)</f>
        <v>0</v>
      </c>
    </row>
    <row r="40" spans="2:15" x14ac:dyDescent="0.25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42" x14ac:dyDescent="0.25">
      <c r="B41" s="35" t="s">
        <v>0</v>
      </c>
      <c r="C41" s="21" t="s">
        <v>16</v>
      </c>
      <c r="D41" s="21" t="s">
        <v>17</v>
      </c>
      <c r="E41" s="21" t="s">
        <v>27</v>
      </c>
      <c r="F41" s="21" t="s">
        <v>28</v>
      </c>
      <c r="G41" s="21" t="s">
        <v>18</v>
      </c>
      <c r="H41" s="21" t="s">
        <v>19</v>
      </c>
      <c r="I41" s="21" t="s">
        <v>12</v>
      </c>
      <c r="J41" s="21" t="s">
        <v>13</v>
      </c>
      <c r="K41" s="21" t="s">
        <v>15</v>
      </c>
      <c r="L41" s="21" t="s">
        <v>14</v>
      </c>
      <c r="M41" s="21" t="s">
        <v>29</v>
      </c>
      <c r="N41" s="21" t="s">
        <v>1</v>
      </c>
      <c r="O41" s="22" t="s">
        <v>2</v>
      </c>
    </row>
    <row r="42" spans="2:15" ht="10.5" x14ac:dyDescent="0.25">
      <c r="B42" s="36" t="s">
        <v>36</v>
      </c>
      <c r="C42" s="1">
        <f t="shared" ref="C42:N42" si="9">SUM(C43:C45)</f>
        <v>17196213249.239998</v>
      </c>
      <c r="D42" s="1">
        <f t="shared" si="9"/>
        <v>3362879121.9200001</v>
      </c>
      <c r="E42" s="1">
        <f t="shared" si="9"/>
        <v>2958363241.8699999</v>
      </c>
      <c r="F42" s="1">
        <f t="shared" si="9"/>
        <v>6514892979.0899992</v>
      </c>
      <c r="G42" s="1">
        <f t="shared" si="9"/>
        <v>0</v>
      </c>
      <c r="H42" s="1">
        <f t="shared" si="9"/>
        <v>488033732.14000005</v>
      </c>
      <c r="I42" s="1">
        <f t="shared" si="9"/>
        <v>7522017348.6399994</v>
      </c>
      <c r="J42" s="1">
        <f t="shared" si="9"/>
        <v>7028499147.0100002</v>
      </c>
      <c r="K42" s="1">
        <f t="shared" si="9"/>
        <v>21055667366.350002</v>
      </c>
      <c r="L42" s="1">
        <f t="shared" si="9"/>
        <v>0</v>
      </c>
      <c r="M42" s="1">
        <f t="shared" si="9"/>
        <v>0</v>
      </c>
      <c r="N42" s="1">
        <f t="shared" si="9"/>
        <v>0</v>
      </c>
      <c r="O42" s="1">
        <f>SUM(C42:N42)</f>
        <v>66126566186.259995</v>
      </c>
    </row>
    <row r="43" spans="2:15" x14ac:dyDescent="0.2">
      <c r="B43" s="37" t="s">
        <v>21</v>
      </c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16">
        <f>SUM(C43:N43)</f>
        <v>0</v>
      </c>
    </row>
    <row r="44" spans="2:15" x14ac:dyDescent="0.2">
      <c r="B44" s="37" t="s">
        <v>23</v>
      </c>
      <c r="C44" s="3">
        <f>17190799481.69</f>
        <v>17190799481.689999</v>
      </c>
      <c r="D44" s="3">
        <v>3362865928.8299999</v>
      </c>
      <c r="E44" s="3">
        <v>2958363241.8699999</v>
      </c>
      <c r="F44" s="3">
        <v>6494626644.4399996</v>
      </c>
      <c r="G44" s="3"/>
      <c r="H44" s="3">
        <v>487578483.54000002</v>
      </c>
      <c r="I44" s="3">
        <v>7521021272.6499996</v>
      </c>
      <c r="J44" s="3">
        <v>7024710865.1800003</v>
      </c>
      <c r="K44" s="4">
        <f>21040746071.83+207428.93+2227385.62</f>
        <v>21043180886.380001</v>
      </c>
      <c r="L44" s="4"/>
      <c r="M44" s="4"/>
      <c r="N44" s="4"/>
      <c r="O44" s="16">
        <f>SUM(C44:N44)</f>
        <v>66083146804.580002</v>
      </c>
    </row>
    <row r="45" spans="2:15" x14ac:dyDescent="0.2">
      <c r="B45" s="38" t="s">
        <v>22</v>
      </c>
      <c r="C45" s="12">
        <v>5413767.5499999998</v>
      </c>
      <c r="D45" s="12">
        <v>13193.09</v>
      </c>
      <c r="E45" s="12"/>
      <c r="F45" s="12">
        <v>20266334.649999999</v>
      </c>
      <c r="G45" s="12"/>
      <c r="H45" s="12">
        <v>455248.6</v>
      </c>
      <c r="I45" s="12">
        <v>996075.99</v>
      </c>
      <c r="J45" s="12">
        <v>3788281.83</v>
      </c>
      <c r="K45" s="13">
        <f>12486479.97</f>
        <v>12486479.970000001</v>
      </c>
      <c r="L45" s="13"/>
      <c r="M45" s="13"/>
      <c r="N45" s="13"/>
      <c r="O45" s="17">
        <f>SUM(C45:N45)</f>
        <v>43419381.68</v>
      </c>
    </row>
    <row r="46" spans="2:15" x14ac:dyDescent="0.2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ht="10.5" x14ac:dyDescent="0.2">
      <c r="B48" s="49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f>SUM(C48:N48)</f>
        <v>0</v>
      </c>
    </row>
    <row r="49" spans="2:15" ht="10.5" x14ac:dyDescent="0.25">
      <c r="B49" s="4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2:15" ht="42" x14ac:dyDescent="0.25">
      <c r="B50" s="35" t="s">
        <v>30</v>
      </c>
      <c r="C50" s="21" t="s">
        <v>16</v>
      </c>
      <c r="D50" s="21" t="s">
        <v>17</v>
      </c>
      <c r="E50" s="21" t="s">
        <v>27</v>
      </c>
      <c r="F50" s="21" t="s">
        <v>28</v>
      </c>
      <c r="G50" s="21" t="s">
        <v>18</v>
      </c>
      <c r="H50" s="21" t="s">
        <v>19</v>
      </c>
      <c r="I50" s="21" t="s">
        <v>12</v>
      </c>
      <c r="J50" s="21" t="s">
        <v>13</v>
      </c>
      <c r="K50" s="21" t="s">
        <v>15</v>
      </c>
      <c r="L50" s="21" t="s">
        <v>14</v>
      </c>
      <c r="M50" s="21" t="s">
        <v>29</v>
      </c>
      <c r="N50" s="21" t="s">
        <v>1</v>
      </c>
      <c r="O50" s="22" t="s">
        <v>2</v>
      </c>
    </row>
    <row r="51" spans="2:15" ht="10.5" x14ac:dyDescent="0.25">
      <c r="B51" s="36" t="s">
        <v>31</v>
      </c>
      <c r="C51" s="1">
        <f>SUM(C52:C54)</f>
        <v>62388</v>
      </c>
      <c r="D51" s="1">
        <f>SUM(D52:D54)</f>
        <v>3914</v>
      </c>
      <c r="E51" s="1">
        <f t="shared" ref="E51:N51" si="10">SUM(E52:E54)</f>
        <v>6106</v>
      </c>
      <c r="F51" s="1">
        <f t="shared" si="10"/>
        <v>5541</v>
      </c>
      <c r="G51" s="1">
        <f t="shared" si="10"/>
        <v>31198</v>
      </c>
      <c r="H51" s="1">
        <f t="shared" si="10"/>
        <v>0</v>
      </c>
      <c r="I51" s="1">
        <f t="shared" si="10"/>
        <v>43458</v>
      </c>
      <c r="J51" s="1">
        <f t="shared" si="10"/>
        <v>20294</v>
      </c>
      <c r="K51" s="1">
        <f t="shared" si="10"/>
        <v>41388</v>
      </c>
      <c r="L51" s="1">
        <f t="shared" si="10"/>
        <v>0</v>
      </c>
      <c r="M51" s="1">
        <f t="shared" si="10"/>
        <v>0</v>
      </c>
      <c r="N51" s="1">
        <f t="shared" si="10"/>
        <v>0</v>
      </c>
      <c r="O51" s="1">
        <f>SUM(C51:N51)</f>
        <v>214287</v>
      </c>
    </row>
    <row r="52" spans="2:15" x14ac:dyDescent="0.2">
      <c r="B52" s="37" t="s">
        <v>21</v>
      </c>
      <c r="C52" s="3"/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16">
        <f>SUM(C52:N52)</f>
        <v>0</v>
      </c>
    </row>
    <row r="53" spans="2:15" x14ac:dyDescent="0.2">
      <c r="B53" s="37" t="s">
        <v>23</v>
      </c>
      <c r="C53" s="3">
        <v>59077</v>
      </c>
      <c r="D53" s="3">
        <v>3790</v>
      </c>
      <c r="E53" s="3">
        <v>5697</v>
      </c>
      <c r="F53" s="3">
        <v>5429</v>
      </c>
      <c r="G53" s="3">
        <v>28887</v>
      </c>
      <c r="H53" s="3"/>
      <c r="I53" s="3">
        <v>40992</v>
      </c>
      <c r="J53" s="3">
        <v>18446</v>
      </c>
      <c r="K53" s="4">
        <v>38236</v>
      </c>
      <c r="L53" s="4"/>
      <c r="M53" s="4"/>
      <c r="N53" s="4"/>
      <c r="O53" s="16">
        <f>SUM(C53:N53)</f>
        <v>200554</v>
      </c>
    </row>
    <row r="54" spans="2:15" x14ac:dyDescent="0.2">
      <c r="B54" s="38" t="s">
        <v>22</v>
      </c>
      <c r="C54" s="12">
        <v>3311</v>
      </c>
      <c r="D54" s="12">
        <v>124</v>
      </c>
      <c r="E54" s="12">
        <v>409</v>
      </c>
      <c r="F54" s="12">
        <v>112</v>
      </c>
      <c r="G54" s="12">
        <v>2311</v>
      </c>
      <c r="H54" s="12"/>
      <c r="I54" s="12">
        <v>2466</v>
      </c>
      <c r="J54" s="12">
        <v>1848</v>
      </c>
      <c r="K54" s="13">
        <v>3152</v>
      </c>
      <c r="L54" s="13"/>
      <c r="M54" s="13"/>
      <c r="N54" s="13"/>
      <c r="O54" s="17">
        <f>SUM(C54:N54)</f>
        <v>13733</v>
      </c>
    </row>
    <row r="55" spans="2:15" ht="10.5" x14ac:dyDescent="0.25">
      <c r="B55" s="4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2:15" ht="10.5" x14ac:dyDescent="0.25">
      <c r="B56" s="41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2:15" ht="10.5" x14ac:dyDescent="0.25">
      <c r="B57" s="49" t="s">
        <v>41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4"/>
    </row>
    <row r="58" spans="2:15" ht="10.5" x14ac:dyDescent="0.25">
      <c r="B58" s="4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2:15" ht="42" x14ac:dyDescent="0.25">
      <c r="B59" s="35" t="s">
        <v>9</v>
      </c>
      <c r="C59" s="21" t="s">
        <v>16</v>
      </c>
      <c r="D59" s="21" t="s">
        <v>17</v>
      </c>
      <c r="E59" s="21" t="s">
        <v>27</v>
      </c>
      <c r="F59" s="21" t="s">
        <v>28</v>
      </c>
      <c r="G59" s="21" t="s">
        <v>18</v>
      </c>
      <c r="H59" s="21" t="s">
        <v>19</v>
      </c>
      <c r="I59" s="21" t="s">
        <v>12</v>
      </c>
      <c r="J59" s="21" t="s">
        <v>13</v>
      </c>
      <c r="K59" s="21" t="s">
        <v>15</v>
      </c>
      <c r="L59" s="21" t="s">
        <v>14</v>
      </c>
      <c r="M59" s="21" t="s">
        <v>29</v>
      </c>
      <c r="N59" s="21" t="s">
        <v>1</v>
      </c>
      <c r="O59" s="22" t="s">
        <v>2</v>
      </c>
    </row>
    <row r="60" spans="2:15" ht="10.5" x14ac:dyDescent="0.25">
      <c r="B60" s="3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</row>
    <row r="61" spans="2:15" ht="10.5" x14ac:dyDescent="0.25">
      <c r="B61" s="43" t="s">
        <v>33</v>
      </c>
      <c r="C61" s="9">
        <f>SUM(C62,C66)</f>
        <v>3372239643.4400001</v>
      </c>
      <c r="D61" s="9">
        <f t="shared" ref="D61:N61" si="11">SUM(D62,D66)</f>
        <v>336321589.20999998</v>
      </c>
      <c r="E61" s="9">
        <f t="shared" si="11"/>
        <v>534196582</v>
      </c>
      <c r="F61" s="9">
        <f t="shared" si="11"/>
        <v>705782134.18999994</v>
      </c>
      <c r="G61" s="9">
        <f t="shared" si="11"/>
        <v>153321696.68000001</v>
      </c>
      <c r="H61" s="9">
        <f t="shared" si="11"/>
        <v>0</v>
      </c>
      <c r="I61" s="9">
        <f t="shared" si="11"/>
        <v>903400246.11000001</v>
      </c>
      <c r="J61" s="9">
        <f t="shared" si="11"/>
        <v>1021831268.51</v>
      </c>
      <c r="K61" s="9">
        <f t="shared" si="11"/>
        <v>2020774483.99</v>
      </c>
      <c r="L61" s="9">
        <f t="shared" si="11"/>
        <v>0</v>
      </c>
      <c r="M61" s="9">
        <f t="shared" si="11"/>
        <v>0</v>
      </c>
      <c r="N61" s="9">
        <f t="shared" si="11"/>
        <v>0</v>
      </c>
      <c r="O61" s="10">
        <f t="shared" ref="O61:O69" si="12">SUM(C61:N61)</f>
        <v>9047867644.1300011</v>
      </c>
    </row>
    <row r="62" spans="2:15" ht="10.5" x14ac:dyDescent="0.25">
      <c r="B62" s="36" t="s">
        <v>34</v>
      </c>
      <c r="C62" s="1">
        <f t="shared" ref="C62:N62" si="13">SUM(C63:C65)</f>
        <v>3061317018.8899999</v>
      </c>
      <c r="D62" s="1">
        <f t="shared" si="13"/>
        <v>336321589.20999998</v>
      </c>
      <c r="E62" s="1">
        <f t="shared" si="13"/>
        <v>498565612.26999998</v>
      </c>
      <c r="F62" s="1">
        <f t="shared" si="13"/>
        <v>705782134.18999994</v>
      </c>
      <c r="G62" s="1">
        <f t="shared" si="13"/>
        <v>85131404.799999997</v>
      </c>
      <c r="H62" s="1">
        <f t="shared" si="13"/>
        <v>0</v>
      </c>
      <c r="I62" s="1">
        <f t="shared" si="13"/>
        <v>518539991.74000001</v>
      </c>
      <c r="J62" s="1">
        <f t="shared" si="13"/>
        <v>1021831268.51</v>
      </c>
      <c r="K62" s="1">
        <f t="shared" si="13"/>
        <v>2020774483.99</v>
      </c>
      <c r="L62" s="1">
        <f t="shared" si="13"/>
        <v>0</v>
      </c>
      <c r="M62" s="1">
        <f t="shared" si="13"/>
        <v>0</v>
      </c>
      <c r="N62" s="1">
        <f t="shared" si="13"/>
        <v>0</v>
      </c>
      <c r="O62" s="11">
        <f t="shared" si="12"/>
        <v>8248263503.5999994</v>
      </c>
    </row>
    <row r="63" spans="2:15" x14ac:dyDescent="0.2">
      <c r="B63" s="37" t="s">
        <v>21</v>
      </c>
      <c r="C63" s="3"/>
      <c r="D63" s="3"/>
      <c r="E63" s="3"/>
      <c r="F63" s="3"/>
      <c r="G63" s="3"/>
      <c r="H63" s="3"/>
      <c r="I63" s="3"/>
      <c r="J63" s="3"/>
      <c r="K63" s="4"/>
      <c r="L63" s="4"/>
      <c r="M63" s="4"/>
      <c r="N63" s="4"/>
      <c r="O63" s="5">
        <f t="shared" si="12"/>
        <v>0</v>
      </c>
    </row>
    <row r="64" spans="2:15" x14ac:dyDescent="0.2">
      <c r="B64" s="37" t="s">
        <v>23</v>
      </c>
      <c r="C64" s="3">
        <f>472410019.43+2392032885.06</f>
        <v>2864442904.4899998</v>
      </c>
      <c r="D64" s="3">
        <f>26331890.46+299623150.41</f>
        <v>325955040.87</v>
      </c>
      <c r="E64" s="3">
        <f>1476993.46+495780332.05</f>
        <v>497257325.50999999</v>
      </c>
      <c r="F64" s="3">
        <f>29515791.81+670875536.42</f>
        <v>700391328.2299999</v>
      </c>
      <c r="G64" s="3">
        <v>79764513.219999999</v>
      </c>
      <c r="H64" s="3"/>
      <c r="I64" s="3">
        <f>44841345.03+469234691.08</f>
        <v>514076036.11000001</v>
      </c>
      <c r="J64" s="3">
        <f>17910317.55+996231505.7</f>
        <v>1014141823.25</v>
      </c>
      <c r="K64" s="4">
        <f>150517187.46+1855365804.01</f>
        <v>2005882991.47</v>
      </c>
      <c r="L64" s="4"/>
      <c r="M64" s="4"/>
      <c r="N64" s="4"/>
      <c r="O64" s="5">
        <f t="shared" si="12"/>
        <v>8001911963.1499996</v>
      </c>
    </row>
    <row r="65" spans="2:15" x14ac:dyDescent="0.2">
      <c r="B65" s="38" t="s">
        <v>22</v>
      </c>
      <c r="C65" s="12">
        <f>66451.54+196807662.86</f>
        <v>196874114.40000001</v>
      </c>
      <c r="D65" s="12">
        <f>10366548.34</f>
        <v>10366548.34</v>
      </c>
      <c r="E65" s="12">
        <f>1308286.76</f>
        <v>1308286.76</v>
      </c>
      <c r="F65" s="12">
        <f>5390805.96</f>
        <v>5390805.96</v>
      </c>
      <c r="G65" s="12">
        <v>5366891.58</v>
      </c>
      <c r="H65" s="12"/>
      <c r="I65" s="12">
        <v>4463955.63</v>
      </c>
      <c r="J65" s="12">
        <f>7689445.26</f>
        <v>7689445.2599999998</v>
      </c>
      <c r="K65" s="13">
        <v>14891492.52</v>
      </c>
      <c r="L65" s="13"/>
      <c r="M65" s="13"/>
      <c r="N65" s="13"/>
      <c r="O65" s="14">
        <f t="shared" si="12"/>
        <v>246351540.45000002</v>
      </c>
    </row>
    <row r="66" spans="2:15" ht="10.5" x14ac:dyDescent="0.25">
      <c r="B66" s="36" t="s">
        <v>35</v>
      </c>
      <c r="C66" s="15">
        <f t="shared" ref="C66:N66" si="14">SUM(C67:C69)</f>
        <v>310922624.55000001</v>
      </c>
      <c r="D66" s="15">
        <f t="shared" si="14"/>
        <v>0</v>
      </c>
      <c r="E66" s="15">
        <f t="shared" si="14"/>
        <v>35630969.729999997</v>
      </c>
      <c r="F66" s="15">
        <f t="shared" si="14"/>
        <v>0</v>
      </c>
      <c r="G66" s="15">
        <f t="shared" si="14"/>
        <v>68190291.879999995</v>
      </c>
      <c r="H66" s="15">
        <f t="shared" si="14"/>
        <v>0</v>
      </c>
      <c r="I66" s="15">
        <f t="shared" si="14"/>
        <v>384860254.37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2">
        <f t="shared" si="12"/>
        <v>799604140.52999997</v>
      </c>
    </row>
    <row r="67" spans="2:15" x14ac:dyDescent="0.2">
      <c r="B67" s="37" t="s">
        <v>21</v>
      </c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5">
        <f t="shared" si="12"/>
        <v>0</v>
      </c>
    </row>
    <row r="68" spans="2:15" x14ac:dyDescent="0.2">
      <c r="B68" s="37" t="s">
        <v>23</v>
      </c>
      <c r="C68" s="3">
        <f>300422115.58</f>
        <v>300422115.57999998</v>
      </c>
      <c r="D68" s="3"/>
      <c r="E68" s="3">
        <f>35456117.29</f>
        <v>35456117.289999999</v>
      </c>
      <c r="F68" s="3"/>
      <c r="G68" s="3">
        <v>64005153.210000001</v>
      </c>
      <c r="H68" s="3"/>
      <c r="I68" s="3">
        <v>376363483.60000002</v>
      </c>
      <c r="J68" s="3"/>
      <c r="K68" s="4"/>
      <c r="L68" s="4"/>
      <c r="M68" s="4"/>
      <c r="N68" s="4"/>
      <c r="O68" s="5">
        <f t="shared" si="12"/>
        <v>776246869.68000007</v>
      </c>
    </row>
    <row r="69" spans="2:15" x14ac:dyDescent="0.2">
      <c r="B69" s="38" t="s">
        <v>22</v>
      </c>
      <c r="C69" s="12">
        <v>10500508.970000001</v>
      </c>
      <c r="D69" s="12"/>
      <c r="E69" s="12">
        <f>174852.44</f>
        <v>174852.44</v>
      </c>
      <c r="F69" s="12"/>
      <c r="G69" s="12">
        <v>4185138.67</v>
      </c>
      <c r="H69" s="12"/>
      <c r="I69" s="12">
        <v>8496770.7699999996</v>
      </c>
      <c r="J69" s="12"/>
      <c r="K69" s="13"/>
      <c r="L69" s="13"/>
      <c r="M69" s="13"/>
      <c r="N69" s="13"/>
      <c r="O69" s="14">
        <f t="shared" si="12"/>
        <v>23357270.850000001</v>
      </c>
    </row>
    <row r="70" spans="2:15" x14ac:dyDescent="0.25">
      <c r="B70" s="44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2"/>
      <c r="O70" s="32"/>
    </row>
    <row r="71" spans="2:15" ht="10.5" x14ac:dyDescent="0.25">
      <c r="B71" s="43" t="s">
        <v>11</v>
      </c>
      <c r="C71" s="9">
        <f t="shared" ref="C71:N71" si="15">SUM(C72,C76)</f>
        <v>3228857458.6599998</v>
      </c>
      <c r="D71" s="9">
        <f t="shared" si="15"/>
        <v>245779644.84999999</v>
      </c>
      <c r="E71" s="9">
        <f t="shared" si="15"/>
        <v>409934789.07000005</v>
      </c>
      <c r="F71" s="9">
        <f t="shared" si="15"/>
        <v>238592551.32999998</v>
      </c>
      <c r="G71" s="9">
        <f t="shared" si="15"/>
        <v>40959241.740000002</v>
      </c>
      <c r="H71" s="9">
        <f t="shared" si="15"/>
        <v>0</v>
      </c>
      <c r="I71" s="9">
        <f t="shared" si="15"/>
        <v>425995904.92000002</v>
      </c>
      <c r="J71" s="9">
        <f t="shared" si="15"/>
        <v>807936689.81999993</v>
      </c>
      <c r="K71" s="9">
        <f t="shared" si="15"/>
        <v>1869317008.0799999</v>
      </c>
      <c r="L71" s="9">
        <f t="shared" si="15"/>
        <v>0</v>
      </c>
      <c r="M71" s="9">
        <f t="shared" si="15"/>
        <v>0</v>
      </c>
      <c r="N71" s="9">
        <f t="shared" si="15"/>
        <v>0</v>
      </c>
      <c r="O71" s="10">
        <f t="shared" ref="O71:O82" si="16">SUM(C71:N71)</f>
        <v>7267373288.4699993</v>
      </c>
    </row>
    <row r="72" spans="2:15" ht="10.5" x14ac:dyDescent="0.25">
      <c r="B72" s="36" t="s">
        <v>24</v>
      </c>
      <c r="C72" s="1">
        <f t="shared" ref="C72:N72" si="17">SUM(C73:C75)</f>
        <v>2709468657.0299997</v>
      </c>
      <c r="D72" s="1">
        <f t="shared" si="17"/>
        <v>245779644.84999999</v>
      </c>
      <c r="E72" s="1">
        <f t="shared" si="17"/>
        <v>390891004.33000004</v>
      </c>
      <c r="F72" s="1">
        <f t="shared" si="17"/>
        <v>238592551.32999998</v>
      </c>
      <c r="G72" s="1">
        <f t="shared" si="17"/>
        <v>40959241.740000002</v>
      </c>
      <c r="H72" s="1">
        <f t="shared" si="17"/>
        <v>0</v>
      </c>
      <c r="I72" s="1">
        <f t="shared" si="17"/>
        <v>425995904.92000002</v>
      </c>
      <c r="J72" s="1">
        <f t="shared" si="17"/>
        <v>807936689.81999993</v>
      </c>
      <c r="K72" s="1">
        <f t="shared" si="17"/>
        <v>592324005.11000001</v>
      </c>
      <c r="L72" s="1">
        <f t="shared" si="17"/>
        <v>0</v>
      </c>
      <c r="M72" s="1">
        <f t="shared" si="17"/>
        <v>0</v>
      </c>
      <c r="N72" s="1">
        <f t="shared" si="17"/>
        <v>0</v>
      </c>
      <c r="O72" s="1">
        <f t="shared" si="16"/>
        <v>5451947699.1299992</v>
      </c>
    </row>
    <row r="73" spans="2:15" x14ac:dyDescent="0.2">
      <c r="B73" s="37" t="s">
        <v>21</v>
      </c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16">
        <f t="shared" si="16"/>
        <v>0</v>
      </c>
    </row>
    <row r="74" spans="2:15" x14ac:dyDescent="0.2">
      <c r="B74" s="37" t="s">
        <v>23</v>
      </c>
      <c r="C74" s="3">
        <v>2587987078.4699998</v>
      </c>
      <c r="D74" s="3">
        <v>242806587.91</v>
      </c>
      <c r="E74" s="3">
        <v>390021171.16000003</v>
      </c>
      <c r="F74" s="3">
        <v>235941541.28999999</v>
      </c>
      <c r="G74" s="3">
        <v>38226354.880000003</v>
      </c>
      <c r="H74" s="3"/>
      <c r="I74" s="3">
        <v>402525384.25999999</v>
      </c>
      <c r="J74" s="3">
        <v>772344521.04999995</v>
      </c>
      <c r="K74" s="4">
        <v>532470529.38999999</v>
      </c>
      <c r="L74" s="4"/>
      <c r="M74" s="4"/>
      <c r="N74" s="4"/>
      <c r="O74" s="16">
        <f t="shared" si="16"/>
        <v>5202323168.4099998</v>
      </c>
    </row>
    <row r="75" spans="2:15" x14ac:dyDescent="0.2">
      <c r="B75" s="38" t="s">
        <v>22</v>
      </c>
      <c r="C75" s="3">
        <v>121481578.56</v>
      </c>
      <c r="D75" s="3">
        <v>2973056.94</v>
      </c>
      <c r="E75" s="3">
        <v>869833.17</v>
      </c>
      <c r="F75" s="3">
        <v>2651010.04</v>
      </c>
      <c r="G75" s="3">
        <v>2732886.86</v>
      </c>
      <c r="H75" s="3"/>
      <c r="I75" s="3">
        <v>23470520.66</v>
      </c>
      <c r="J75" s="3">
        <f>35592168.77</f>
        <v>35592168.770000003</v>
      </c>
      <c r="K75" s="4">
        <v>59853475.719999999</v>
      </c>
      <c r="L75" s="4"/>
      <c r="M75" s="4"/>
      <c r="N75" s="4"/>
      <c r="O75" s="17">
        <f t="shared" si="16"/>
        <v>249624530.72000003</v>
      </c>
    </row>
    <row r="76" spans="2:15" ht="10.5" x14ac:dyDescent="0.25">
      <c r="B76" s="36" t="s">
        <v>10</v>
      </c>
      <c r="C76" s="1">
        <f t="shared" ref="C76:N76" si="18">SUM(C77:C79)</f>
        <v>519388801.63</v>
      </c>
      <c r="D76" s="1">
        <f t="shared" si="18"/>
        <v>0</v>
      </c>
      <c r="E76" s="1">
        <f t="shared" si="18"/>
        <v>19043784.739999998</v>
      </c>
      <c r="F76" s="1">
        <f t="shared" si="18"/>
        <v>0</v>
      </c>
      <c r="G76" s="1">
        <f t="shared" si="18"/>
        <v>0</v>
      </c>
      <c r="H76" s="1">
        <f t="shared" si="18"/>
        <v>0</v>
      </c>
      <c r="I76" s="1">
        <f t="shared" si="18"/>
        <v>0</v>
      </c>
      <c r="J76" s="1">
        <f t="shared" si="18"/>
        <v>0</v>
      </c>
      <c r="K76" s="1">
        <f t="shared" si="18"/>
        <v>1276993002.97</v>
      </c>
      <c r="L76" s="1">
        <f t="shared" si="18"/>
        <v>0</v>
      </c>
      <c r="M76" s="1">
        <f t="shared" si="18"/>
        <v>0</v>
      </c>
      <c r="N76" s="1">
        <f t="shared" si="18"/>
        <v>0</v>
      </c>
      <c r="O76" s="1">
        <f t="shared" si="16"/>
        <v>1815425589.3400002</v>
      </c>
    </row>
    <row r="77" spans="2:15" x14ac:dyDescent="0.2">
      <c r="B77" s="37" t="s">
        <v>21</v>
      </c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16">
        <f t="shared" si="16"/>
        <v>0</v>
      </c>
    </row>
    <row r="78" spans="2:15" x14ac:dyDescent="0.2">
      <c r="B78" s="37" t="s">
        <v>23</v>
      </c>
      <c r="C78" s="3">
        <v>515158050.30000001</v>
      </c>
      <c r="D78" s="3"/>
      <c r="E78" s="3">
        <v>19013784.739999998</v>
      </c>
      <c r="F78" s="3"/>
      <c r="G78" s="3"/>
      <c r="H78" s="3"/>
      <c r="I78" s="3"/>
      <c r="J78" s="3"/>
      <c r="K78" s="4">
        <v>1237146888.3900001</v>
      </c>
      <c r="L78" s="4"/>
      <c r="M78" s="4"/>
      <c r="N78" s="4"/>
      <c r="O78" s="16">
        <f t="shared" si="16"/>
        <v>1771318723.4300001</v>
      </c>
    </row>
    <row r="79" spans="2:15" x14ac:dyDescent="0.2">
      <c r="B79" s="38" t="s">
        <v>22</v>
      </c>
      <c r="C79" s="3">
        <v>4230751.33</v>
      </c>
      <c r="D79" s="3"/>
      <c r="E79" s="3">
        <f>30000</f>
        <v>30000</v>
      </c>
      <c r="F79" s="3"/>
      <c r="G79" s="3"/>
      <c r="H79" s="3"/>
      <c r="I79" s="3"/>
      <c r="J79" s="3"/>
      <c r="K79" s="4">
        <v>39846114.579999998</v>
      </c>
      <c r="L79" s="4"/>
      <c r="M79" s="4"/>
      <c r="N79" s="4"/>
      <c r="O79" s="17">
        <f t="shared" si="16"/>
        <v>44106865.909999996</v>
      </c>
    </row>
    <row r="80" spans="2:15" ht="11" thickBot="1" x14ac:dyDescent="0.3">
      <c r="B80" s="39" t="s">
        <v>38</v>
      </c>
      <c r="C80" s="6">
        <f>C61-C71</f>
        <v>143382184.78000021</v>
      </c>
      <c r="D80" s="6">
        <f t="shared" ref="D80:N80" si="19">D61-D71</f>
        <v>90541944.359999985</v>
      </c>
      <c r="E80" s="6">
        <f t="shared" si="19"/>
        <v>124261792.92999995</v>
      </c>
      <c r="F80" s="6">
        <f t="shared" si="19"/>
        <v>467189582.85999995</v>
      </c>
      <c r="G80" s="6">
        <f t="shared" si="19"/>
        <v>112362454.94</v>
      </c>
      <c r="H80" s="6">
        <f t="shared" si="19"/>
        <v>0</v>
      </c>
      <c r="I80" s="6">
        <f t="shared" si="19"/>
        <v>477404341.19</v>
      </c>
      <c r="J80" s="6">
        <f t="shared" si="19"/>
        <v>213894578.69000006</v>
      </c>
      <c r="K80" s="6">
        <f t="shared" si="19"/>
        <v>151457475.91000009</v>
      </c>
      <c r="L80" s="6">
        <f>L61-L71</f>
        <v>0</v>
      </c>
      <c r="M80" s="6">
        <f t="shared" si="19"/>
        <v>0</v>
      </c>
      <c r="N80" s="6">
        <f t="shared" si="19"/>
        <v>0</v>
      </c>
      <c r="O80" s="7">
        <f t="shared" si="16"/>
        <v>1780494355.6600003</v>
      </c>
    </row>
    <row r="81" spans="2:15" ht="10.5" thickTop="1" x14ac:dyDescent="0.25">
      <c r="B81" s="4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x14ac:dyDescent="0.25">
      <c r="B82" s="46" t="s">
        <v>32</v>
      </c>
      <c r="C82" s="48">
        <v>678299510.70000005</v>
      </c>
      <c r="D82" s="48"/>
      <c r="E82" s="48">
        <v>65586758.789999999</v>
      </c>
      <c r="F82" s="48"/>
      <c r="G82" s="48">
        <v>10259101.32</v>
      </c>
      <c r="H82" s="48"/>
      <c r="I82" s="48">
        <v>203753866.30000001</v>
      </c>
      <c r="J82" s="48">
        <v>211383654.47</v>
      </c>
      <c r="K82" s="48">
        <v>553176280.38999999</v>
      </c>
      <c r="L82" s="48"/>
      <c r="M82" s="48"/>
      <c r="N82" s="48"/>
      <c r="O82" s="48">
        <f t="shared" si="16"/>
        <v>1722459171.9700003</v>
      </c>
    </row>
  </sheetData>
  <pageMargins left="0.75" right="0.75" top="1" bottom="1" header="0.5" footer="0.5"/>
  <pageSetup paperSize="9" scale="44" orientation="landscape" r:id="rId1"/>
  <headerFooter alignWithMargins="0">
    <oddFooter>&amp;L_x000D_&amp;1#&amp;"Calibri"&amp;8&amp;K000000 This document has been classified as PROTECTED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A1B1-D3A4-42C3-B3C7-D195CB474E8B}">
  <sheetPr>
    <pageSetUpPr fitToPage="1"/>
  </sheetPr>
  <dimension ref="B1:O82"/>
  <sheetViews>
    <sheetView showGridLines="0" topLeftCell="B52" zoomScale="86" zoomScaleNormal="86" workbookViewId="0">
      <selection activeCell="O82" sqref="O82"/>
    </sheetView>
  </sheetViews>
  <sheetFormatPr defaultColWidth="9.26953125" defaultRowHeight="10" x14ac:dyDescent="0.25"/>
  <cols>
    <col min="1" max="1" width="2.7265625" style="33" customWidth="1"/>
    <col min="2" max="2" width="47" style="33" customWidth="1"/>
    <col min="3" max="3" width="15.54296875" style="19" customWidth="1"/>
    <col min="4" max="4" width="16.26953125" style="19" customWidth="1"/>
    <col min="5" max="5" width="14.453125" style="19" customWidth="1"/>
    <col min="6" max="6" width="15.7265625" style="19" customWidth="1"/>
    <col min="7" max="8" width="16.54296875" style="19" customWidth="1"/>
    <col min="9" max="9" width="13.7265625" style="19" customWidth="1"/>
    <col min="10" max="10" width="17.26953125" style="19" customWidth="1"/>
    <col min="11" max="11" width="13.81640625" style="19" customWidth="1"/>
    <col min="12" max="12" width="12.7265625" style="19" customWidth="1"/>
    <col min="13" max="13" width="14" style="19" customWidth="1"/>
    <col min="14" max="14" width="14.54296875" style="19" customWidth="1"/>
    <col min="15" max="15" width="14.26953125" style="19" customWidth="1"/>
    <col min="16" max="16" width="2.7265625" style="33" customWidth="1"/>
    <col min="17" max="16384" width="9.26953125" style="33"/>
  </cols>
  <sheetData>
    <row r="1" spans="2:15" ht="10.5" x14ac:dyDescent="0.25">
      <c r="B1" s="41" t="s">
        <v>39</v>
      </c>
      <c r="C1" s="18"/>
      <c r="D1" s="18"/>
      <c r="E1" s="18"/>
      <c r="F1" s="18"/>
      <c r="G1" s="18"/>
    </row>
    <row r="2" spans="2:15" ht="10.5" x14ac:dyDescent="0.25">
      <c r="B2" s="34" t="s">
        <v>51</v>
      </c>
      <c r="C2" s="20"/>
      <c r="D2" s="20"/>
    </row>
    <row r="5" spans="2:15" ht="10.5" x14ac:dyDescent="0.25">
      <c r="B5" s="49" t="s">
        <v>40</v>
      </c>
    </row>
    <row r="7" spans="2:15" ht="42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15" ht="10.5" x14ac:dyDescent="0.25">
      <c r="B8" s="36" t="s">
        <v>3</v>
      </c>
      <c r="C8" s="1">
        <f>SUM(C9:C11)</f>
        <v>12781419812.550003</v>
      </c>
      <c r="D8" s="1">
        <f t="shared" ref="D8:N8" si="0">SUM(D9:D11)</f>
        <v>0</v>
      </c>
      <c r="E8" s="1">
        <f t="shared" si="0"/>
        <v>479340766.19000006</v>
      </c>
      <c r="F8" s="1">
        <f t="shared" si="0"/>
        <v>0</v>
      </c>
      <c r="G8" s="1">
        <f t="shared" si="0"/>
        <v>0</v>
      </c>
      <c r="H8" s="1">
        <f t="shared" si="0"/>
        <v>328256481.0400002</v>
      </c>
      <c r="I8" s="1">
        <f t="shared" si="0"/>
        <v>3753019657.3100004</v>
      </c>
      <c r="J8" s="1">
        <f t="shared" si="0"/>
        <v>3029766792.5200005</v>
      </c>
      <c r="K8" s="1">
        <f t="shared" si="0"/>
        <v>9487315721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ref="O8:O36" si="1">SUM(C8:N8)</f>
        <v>29859119230.610004</v>
      </c>
    </row>
    <row r="9" spans="2:15" x14ac:dyDescent="0.2">
      <c r="B9" s="37" t="s">
        <v>21</v>
      </c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16">
        <f t="shared" si="1"/>
        <v>0</v>
      </c>
    </row>
    <row r="10" spans="2:15" x14ac:dyDescent="0.2">
      <c r="B10" s="37" t="s">
        <v>23</v>
      </c>
      <c r="C10" s="3">
        <v>12781419812.550003</v>
      </c>
      <c r="D10" s="3">
        <v>0</v>
      </c>
      <c r="E10" s="3">
        <v>479340766.19000006</v>
      </c>
      <c r="F10" s="3">
        <v>0</v>
      </c>
      <c r="G10" s="3"/>
      <c r="H10" s="3">
        <v>328256481.0400002</v>
      </c>
      <c r="I10" s="3">
        <v>3753019657.3100004</v>
      </c>
      <c r="J10" s="3">
        <v>3029766792.5200005</v>
      </c>
      <c r="K10" s="4">
        <v>9487315721</v>
      </c>
      <c r="L10" s="4"/>
      <c r="M10" s="4"/>
      <c r="N10" s="4"/>
      <c r="O10" s="16">
        <f t="shared" si="1"/>
        <v>29859119230.610004</v>
      </c>
    </row>
    <row r="11" spans="2:15" x14ac:dyDescent="0.2">
      <c r="B11" s="38" t="s">
        <v>22</v>
      </c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4"/>
      <c r="O11" s="17">
        <f t="shared" si="1"/>
        <v>0</v>
      </c>
    </row>
    <row r="12" spans="2:15" ht="10.5" x14ac:dyDescent="0.25">
      <c r="B12" s="36" t="s">
        <v>4</v>
      </c>
      <c r="C12" s="1">
        <f t="shared" ref="C12:N12" si="2">SUM(C13:C15)</f>
        <v>0</v>
      </c>
      <c r="D12" s="1">
        <f t="shared" si="2"/>
        <v>23302772674.940014</v>
      </c>
      <c r="E12" s="1">
        <f t="shared" si="2"/>
        <v>586530418.38</v>
      </c>
      <c r="F12" s="1">
        <f t="shared" si="2"/>
        <v>603445126.63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2"/>
        <v>0</v>
      </c>
      <c r="K12" s="1">
        <f t="shared" si="2"/>
        <v>4819433535.6100006</v>
      </c>
      <c r="L12" s="1">
        <f t="shared" si="2"/>
        <v>0</v>
      </c>
      <c r="M12" s="1">
        <f t="shared" si="2"/>
        <v>0</v>
      </c>
      <c r="N12" s="1">
        <f t="shared" si="2"/>
        <v>0</v>
      </c>
      <c r="O12" s="1">
        <f t="shared" si="1"/>
        <v>29312181755.560017</v>
      </c>
    </row>
    <row r="13" spans="2:15" x14ac:dyDescent="0.2">
      <c r="B13" s="37" t="s">
        <v>21</v>
      </c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  <c r="N13" s="4"/>
      <c r="O13" s="16">
        <f t="shared" si="1"/>
        <v>0</v>
      </c>
    </row>
    <row r="14" spans="2:15" x14ac:dyDescent="0.2">
      <c r="B14" s="37" t="s">
        <v>23</v>
      </c>
      <c r="C14" s="3"/>
      <c r="D14" s="3">
        <v>23302772674.940014</v>
      </c>
      <c r="E14" s="3">
        <v>586530418.38</v>
      </c>
      <c r="F14" s="3">
        <v>603445126.63</v>
      </c>
      <c r="G14" s="3"/>
      <c r="H14" s="3"/>
      <c r="I14" s="3"/>
      <c r="J14" s="3"/>
      <c r="K14" s="4">
        <v>4819433535.6100006</v>
      </c>
      <c r="L14" s="4"/>
      <c r="M14" s="4"/>
      <c r="N14" s="4"/>
      <c r="O14" s="16">
        <f t="shared" si="1"/>
        <v>29312181755.560017</v>
      </c>
    </row>
    <row r="15" spans="2:15" x14ac:dyDescent="0.2">
      <c r="B15" s="38" t="s">
        <v>22</v>
      </c>
      <c r="C15" s="3"/>
      <c r="D15" s="3"/>
      <c r="E15" s="3"/>
      <c r="F15" s="3"/>
      <c r="G15" s="3"/>
      <c r="H15" s="3"/>
      <c r="I15" s="3"/>
      <c r="J15" s="3"/>
      <c r="K15" s="4"/>
      <c r="L15" s="4"/>
      <c r="M15" s="4"/>
      <c r="N15" s="4"/>
      <c r="O15" s="17">
        <f t="shared" si="1"/>
        <v>0</v>
      </c>
    </row>
    <row r="16" spans="2:15" ht="10.5" x14ac:dyDescent="0.25">
      <c r="B16" s="36" t="s">
        <v>5</v>
      </c>
      <c r="C16" s="1">
        <f t="shared" ref="C16:N16" si="3">SUM(C17:C19)</f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0</v>
      </c>
      <c r="I16" s="1">
        <f t="shared" si="3"/>
        <v>67832241.5</v>
      </c>
      <c r="J16" s="1">
        <f t="shared" si="3"/>
        <v>190621905.07999998</v>
      </c>
      <c r="K16" s="1">
        <f t="shared" si="3"/>
        <v>0</v>
      </c>
      <c r="L16" s="1">
        <f t="shared" si="3"/>
        <v>0</v>
      </c>
      <c r="M16" s="1">
        <f t="shared" si="3"/>
        <v>0</v>
      </c>
      <c r="N16" s="1">
        <f t="shared" si="3"/>
        <v>0</v>
      </c>
      <c r="O16" s="1">
        <f t="shared" si="1"/>
        <v>258454146.57999998</v>
      </c>
    </row>
    <row r="17" spans="2:15" x14ac:dyDescent="0.2">
      <c r="B17" s="37" t="s">
        <v>21</v>
      </c>
      <c r="C17" s="3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16">
        <f t="shared" si="1"/>
        <v>0</v>
      </c>
    </row>
    <row r="18" spans="2:15" x14ac:dyDescent="0.2">
      <c r="B18" s="37" t="s">
        <v>23</v>
      </c>
      <c r="C18" s="3"/>
      <c r="D18" s="3"/>
      <c r="E18" s="3"/>
      <c r="F18" s="3"/>
      <c r="G18" s="3"/>
      <c r="H18" s="3"/>
      <c r="I18" s="3">
        <v>67832241.5</v>
      </c>
      <c r="J18" s="3">
        <v>190621905.07999998</v>
      </c>
      <c r="K18" s="4"/>
      <c r="L18" s="4"/>
      <c r="M18" s="4"/>
      <c r="N18" s="4"/>
      <c r="O18" s="16">
        <f t="shared" si="1"/>
        <v>258454146.57999998</v>
      </c>
    </row>
    <row r="19" spans="2:15" x14ac:dyDescent="0.2">
      <c r="B19" s="38" t="s">
        <v>22</v>
      </c>
      <c r="C19" s="3"/>
      <c r="D19" s="3"/>
      <c r="E19" s="3"/>
      <c r="F19" s="3"/>
      <c r="G19" s="3"/>
      <c r="H19" s="3"/>
      <c r="I19" s="3"/>
      <c r="J19" s="3"/>
      <c r="K19" s="4"/>
      <c r="L19" s="4"/>
      <c r="M19" s="4"/>
      <c r="N19" s="4"/>
      <c r="O19" s="17">
        <f t="shared" si="1"/>
        <v>0</v>
      </c>
    </row>
    <row r="20" spans="2:15" ht="10.5" x14ac:dyDescent="0.25">
      <c r="B20" s="36" t="s">
        <v>6</v>
      </c>
      <c r="C20" s="1">
        <f t="shared" ref="C20:N20" si="4">SUM(C21:C23)</f>
        <v>0</v>
      </c>
      <c r="D20" s="1">
        <f t="shared" si="4"/>
        <v>0</v>
      </c>
      <c r="E20" s="1">
        <f t="shared" si="4"/>
        <v>0</v>
      </c>
      <c r="F20" s="1">
        <f t="shared" si="4"/>
        <v>0</v>
      </c>
      <c r="G20" s="1">
        <f t="shared" si="4"/>
        <v>0</v>
      </c>
      <c r="H20" s="1">
        <f t="shared" si="4"/>
        <v>0</v>
      </c>
      <c r="I20" s="1">
        <f t="shared" si="4"/>
        <v>0</v>
      </c>
      <c r="J20" s="1">
        <f t="shared" si="4"/>
        <v>0</v>
      </c>
      <c r="K20" s="1">
        <f t="shared" si="4"/>
        <v>0</v>
      </c>
      <c r="L20" s="1">
        <f t="shared" si="4"/>
        <v>0</v>
      </c>
      <c r="M20" s="1">
        <f t="shared" si="4"/>
        <v>0</v>
      </c>
      <c r="N20" s="1">
        <f t="shared" si="4"/>
        <v>0</v>
      </c>
      <c r="O20" s="1">
        <f t="shared" si="1"/>
        <v>0</v>
      </c>
    </row>
    <row r="21" spans="2:15" x14ac:dyDescent="0.2">
      <c r="B21" s="37" t="s">
        <v>21</v>
      </c>
      <c r="C21" s="3"/>
      <c r="D21" s="3"/>
      <c r="E21" s="3"/>
      <c r="F21" s="3"/>
      <c r="G21" s="3"/>
      <c r="H21" s="3"/>
      <c r="I21" s="3"/>
      <c r="J21" s="3"/>
      <c r="K21" s="4"/>
      <c r="L21" s="4"/>
      <c r="M21" s="4"/>
      <c r="N21" s="4"/>
      <c r="O21" s="16">
        <f t="shared" si="1"/>
        <v>0</v>
      </c>
    </row>
    <row r="22" spans="2:15" x14ac:dyDescent="0.2">
      <c r="B22" s="37" t="s">
        <v>23</v>
      </c>
      <c r="C22" s="3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16">
        <f t="shared" si="1"/>
        <v>0</v>
      </c>
    </row>
    <row r="23" spans="2:15" x14ac:dyDescent="0.2">
      <c r="B23" s="38" t="s">
        <v>22</v>
      </c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17">
        <f t="shared" si="1"/>
        <v>0</v>
      </c>
    </row>
    <row r="24" spans="2:15" ht="10.5" x14ac:dyDescent="0.25">
      <c r="B24" s="36" t="s">
        <v>25</v>
      </c>
      <c r="C24" s="1">
        <f t="shared" ref="C24:N24" si="5">SUM(C25:C27)</f>
        <v>0</v>
      </c>
      <c r="D24" s="1">
        <f t="shared" si="5"/>
        <v>0</v>
      </c>
      <c r="E24" s="1">
        <f t="shared" si="5"/>
        <v>0</v>
      </c>
      <c r="F24" s="1">
        <f t="shared" si="5"/>
        <v>0</v>
      </c>
      <c r="G24" s="1">
        <f t="shared" si="5"/>
        <v>0</v>
      </c>
      <c r="H24" s="1">
        <f t="shared" si="5"/>
        <v>0</v>
      </c>
      <c r="I24" s="1">
        <f t="shared" si="5"/>
        <v>0</v>
      </c>
      <c r="J24" s="1">
        <f t="shared" si="5"/>
        <v>0</v>
      </c>
      <c r="K24" s="1">
        <f t="shared" si="5"/>
        <v>0</v>
      </c>
      <c r="L24" s="1">
        <f t="shared" si="5"/>
        <v>0</v>
      </c>
      <c r="M24" s="1">
        <f t="shared" si="5"/>
        <v>0</v>
      </c>
      <c r="N24" s="1">
        <f t="shared" si="5"/>
        <v>0</v>
      </c>
      <c r="O24" s="1">
        <f t="shared" si="1"/>
        <v>0</v>
      </c>
    </row>
    <row r="25" spans="2:15" x14ac:dyDescent="0.2">
      <c r="B25" s="37" t="s">
        <v>21</v>
      </c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4"/>
      <c r="O25" s="16">
        <f t="shared" si="1"/>
        <v>0</v>
      </c>
    </row>
    <row r="26" spans="2:15" x14ac:dyDescent="0.2">
      <c r="B26" s="37" t="s">
        <v>23</v>
      </c>
      <c r="C26" s="3"/>
      <c r="D26" s="3"/>
      <c r="E26" s="3"/>
      <c r="F26" s="3"/>
      <c r="G26" s="3"/>
      <c r="H26" s="3"/>
      <c r="I26" s="3"/>
      <c r="J26" s="3"/>
      <c r="K26" s="4"/>
      <c r="L26" s="4"/>
      <c r="M26" s="4"/>
      <c r="N26" s="4"/>
      <c r="O26" s="16">
        <f t="shared" si="1"/>
        <v>0</v>
      </c>
    </row>
    <row r="27" spans="2:15" x14ac:dyDescent="0.2">
      <c r="B27" s="38" t="s">
        <v>22</v>
      </c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17">
        <f t="shared" si="1"/>
        <v>0</v>
      </c>
    </row>
    <row r="28" spans="2:15" ht="10.5" x14ac:dyDescent="0.25">
      <c r="B28" s="36" t="s">
        <v>26</v>
      </c>
      <c r="C28" s="1">
        <f t="shared" ref="C28:N28" si="6">SUM(C29:C31)</f>
        <v>0</v>
      </c>
      <c r="D28" s="1">
        <f t="shared" si="6"/>
        <v>0</v>
      </c>
      <c r="E28" s="1">
        <f t="shared" si="6"/>
        <v>0</v>
      </c>
      <c r="F28" s="1">
        <f t="shared" si="6"/>
        <v>0</v>
      </c>
      <c r="G28" s="1">
        <f t="shared" si="6"/>
        <v>0</v>
      </c>
      <c r="H28" s="1">
        <f t="shared" si="6"/>
        <v>0</v>
      </c>
      <c r="I28" s="1">
        <f t="shared" si="6"/>
        <v>0</v>
      </c>
      <c r="J28" s="1">
        <f t="shared" si="6"/>
        <v>0</v>
      </c>
      <c r="K28" s="1">
        <f t="shared" si="6"/>
        <v>0</v>
      </c>
      <c r="L28" s="1">
        <f t="shared" si="6"/>
        <v>0</v>
      </c>
      <c r="M28" s="1">
        <f t="shared" si="6"/>
        <v>0</v>
      </c>
      <c r="N28" s="1">
        <f t="shared" si="6"/>
        <v>0</v>
      </c>
      <c r="O28" s="1">
        <f t="shared" si="1"/>
        <v>0</v>
      </c>
    </row>
    <row r="29" spans="2:15" x14ac:dyDescent="0.2">
      <c r="B29" s="37" t="s">
        <v>21</v>
      </c>
      <c r="C29" s="3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16">
        <f t="shared" si="1"/>
        <v>0</v>
      </c>
    </row>
    <row r="30" spans="2:15" x14ac:dyDescent="0.2">
      <c r="B30" s="37" t="s">
        <v>23</v>
      </c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4"/>
      <c r="O30" s="16">
        <f t="shared" si="1"/>
        <v>0</v>
      </c>
    </row>
    <row r="31" spans="2:15" x14ac:dyDescent="0.2">
      <c r="B31" s="38" t="s">
        <v>22</v>
      </c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17">
        <f t="shared" si="1"/>
        <v>0</v>
      </c>
    </row>
    <row r="32" spans="2:15" ht="10.5" x14ac:dyDescent="0.25">
      <c r="B32" s="36" t="s">
        <v>7</v>
      </c>
      <c r="C32" s="1">
        <f t="shared" ref="C32:N32" si="7">SUM(C33:C35)</f>
        <v>0</v>
      </c>
      <c r="D32" s="1">
        <f t="shared" si="7"/>
        <v>0</v>
      </c>
      <c r="E32" s="1">
        <f t="shared" si="7"/>
        <v>0</v>
      </c>
      <c r="F32" s="1">
        <f t="shared" si="7"/>
        <v>0</v>
      </c>
      <c r="G32" s="1">
        <f t="shared" si="7"/>
        <v>0</v>
      </c>
      <c r="H32" s="1">
        <f t="shared" si="7"/>
        <v>0</v>
      </c>
      <c r="I32" s="1">
        <f t="shared" si="7"/>
        <v>0</v>
      </c>
      <c r="J32" s="1">
        <f t="shared" si="7"/>
        <v>0</v>
      </c>
      <c r="K32" s="1">
        <f t="shared" si="7"/>
        <v>0</v>
      </c>
      <c r="L32" s="1">
        <f t="shared" si="7"/>
        <v>0</v>
      </c>
      <c r="M32" s="1">
        <f t="shared" si="7"/>
        <v>0</v>
      </c>
      <c r="N32" s="1">
        <f t="shared" si="7"/>
        <v>0</v>
      </c>
      <c r="O32" s="1">
        <f t="shared" si="1"/>
        <v>0</v>
      </c>
    </row>
    <row r="33" spans="2:15" x14ac:dyDescent="0.2">
      <c r="B33" s="37" t="s">
        <v>21</v>
      </c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16">
        <f t="shared" si="1"/>
        <v>0</v>
      </c>
    </row>
    <row r="34" spans="2:15" x14ac:dyDescent="0.2">
      <c r="B34" s="37" t="s">
        <v>23</v>
      </c>
      <c r="C34" s="3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16">
        <f t="shared" si="1"/>
        <v>0</v>
      </c>
    </row>
    <row r="35" spans="2:15" x14ac:dyDescent="0.2">
      <c r="B35" s="38" t="s">
        <v>22</v>
      </c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17">
        <f t="shared" si="1"/>
        <v>0</v>
      </c>
    </row>
    <row r="36" spans="2:15" ht="11" thickBot="1" x14ac:dyDescent="0.3">
      <c r="B36" s="39" t="s">
        <v>2</v>
      </c>
      <c r="C36" s="6">
        <f>SUM(C32,C28,C24,C20,C16,C12,C8)</f>
        <v>12781419812.550003</v>
      </c>
      <c r="D36" s="6">
        <f t="shared" ref="D36:N36" si="8">SUM(D32,D28,D24,D20,D16,D12,D8)</f>
        <v>23302772674.940014</v>
      </c>
      <c r="E36" s="6">
        <f t="shared" si="8"/>
        <v>1065871184.5700001</v>
      </c>
      <c r="F36" s="6">
        <f t="shared" si="8"/>
        <v>603445126.63</v>
      </c>
      <c r="G36" s="6">
        <f t="shared" si="8"/>
        <v>0</v>
      </c>
      <c r="H36" s="6">
        <f t="shared" si="8"/>
        <v>328256481.0400002</v>
      </c>
      <c r="I36" s="6">
        <f t="shared" si="8"/>
        <v>3820851898.8100004</v>
      </c>
      <c r="J36" s="6">
        <f t="shared" si="8"/>
        <v>3220388697.6000004</v>
      </c>
      <c r="K36" s="6">
        <f t="shared" si="8"/>
        <v>14306749256.610001</v>
      </c>
      <c r="L36" s="6">
        <f>SUM(L32,L28,L24,L20,L16,L12,L8)</f>
        <v>0</v>
      </c>
      <c r="M36" s="6">
        <f t="shared" si="8"/>
        <v>0</v>
      </c>
      <c r="N36" s="6">
        <f t="shared" si="8"/>
        <v>0</v>
      </c>
      <c r="O36" s="7">
        <f t="shared" si="1"/>
        <v>59429755132.750015</v>
      </c>
    </row>
    <row r="37" spans="2:15" ht="11" thickTop="1" x14ac:dyDescent="0.25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0.5" x14ac:dyDescent="0.25"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ht="10.5" x14ac:dyDescent="0.2">
      <c r="B39" s="49" t="s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f>SUM(C39:N39)</f>
        <v>0</v>
      </c>
    </row>
    <row r="40" spans="2:15" x14ac:dyDescent="0.25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42" x14ac:dyDescent="0.25">
      <c r="B41" s="35" t="s">
        <v>0</v>
      </c>
      <c r="C41" s="21" t="s">
        <v>16</v>
      </c>
      <c r="D41" s="21" t="s">
        <v>17</v>
      </c>
      <c r="E41" s="21" t="s">
        <v>27</v>
      </c>
      <c r="F41" s="21" t="s">
        <v>28</v>
      </c>
      <c r="G41" s="21" t="s">
        <v>18</v>
      </c>
      <c r="H41" s="21" t="s">
        <v>19</v>
      </c>
      <c r="I41" s="21" t="s">
        <v>12</v>
      </c>
      <c r="J41" s="21" t="s">
        <v>13</v>
      </c>
      <c r="K41" s="21" t="s">
        <v>15</v>
      </c>
      <c r="L41" s="21" t="s">
        <v>14</v>
      </c>
      <c r="M41" s="21" t="s">
        <v>29</v>
      </c>
      <c r="N41" s="21" t="s">
        <v>1</v>
      </c>
      <c r="O41" s="22" t="s">
        <v>2</v>
      </c>
    </row>
    <row r="42" spans="2:15" ht="10.5" x14ac:dyDescent="0.25">
      <c r="B42" s="36" t="s">
        <v>36</v>
      </c>
      <c r="C42" s="1">
        <f t="shared" ref="C42:N42" si="9">SUM(C43:C45)</f>
        <v>12428740797.709999</v>
      </c>
      <c r="D42" s="1">
        <f t="shared" si="9"/>
        <v>22752020674.930012</v>
      </c>
      <c r="E42" s="1">
        <f t="shared" si="9"/>
        <v>1053303580.2000003</v>
      </c>
      <c r="F42" s="1">
        <f t="shared" si="9"/>
        <v>598256459.86000001</v>
      </c>
      <c r="G42" s="1">
        <f t="shared" si="9"/>
        <v>0</v>
      </c>
      <c r="H42" s="1">
        <f t="shared" si="9"/>
        <v>294782020.47000009</v>
      </c>
      <c r="I42" s="1">
        <f t="shared" si="9"/>
        <v>2524324350.9599986</v>
      </c>
      <c r="J42" s="1">
        <f t="shared" si="9"/>
        <v>3127750265.2599993</v>
      </c>
      <c r="K42" s="1">
        <f t="shared" si="9"/>
        <v>14143544211.66</v>
      </c>
      <c r="L42" s="1">
        <f t="shared" si="9"/>
        <v>0</v>
      </c>
      <c r="M42" s="1">
        <f t="shared" si="9"/>
        <v>0</v>
      </c>
      <c r="N42" s="1">
        <f t="shared" si="9"/>
        <v>0</v>
      </c>
      <c r="O42" s="1">
        <f>SUM(C42:N42)</f>
        <v>56922722361.050018</v>
      </c>
    </row>
    <row r="43" spans="2:15" x14ac:dyDescent="0.2">
      <c r="B43" s="37" t="s">
        <v>21</v>
      </c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16">
        <f>SUM(C43:N43)</f>
        <v>0</v>
      </c>
    </row>
    <row r="44" spans="2:15" x14ac:dyDescent="0.2">
      <c r="B44" s="37" t="s">
        <v>23</v>
      </c>
      <c r="C44" s="3">
        <v>12428740797.709999</v>
      </c>
      <c r="D44" s="3">
        <v>22752020674.930012</v>
      </c>
      <c r="E44" s="3">
        <v>1053303580.2000003</v>
      </c>
      <c r="F44" s="3">
        <v>598256459.86000001</v>
      </c>
      <c r="G44" s="3"/>
      <c r="H44" s="3">
        <v>294782020.47000009</v>
      </c>
      <c r="I44" s="3">
        <v>2524324350.9599986</v>
      </c>
      <c r="J44" s="3">
        <v>3127750265.2599993</v>
      </c>
      <c r="K44" s="4">
        <v>14143544211.66</v>
      </c>
      <c r="L44" s="4"/>
      <c r="M44" s="4"/>
      <c r="N44" s="4"/>
      <c r="O44" s="16">
        <f>SUM(C44:N44)</f>
        <v>56922722361.050018</v>
      </c>
    </row>
    <row r="45" spans="2:15" x14ac:dyDescent="0.2">
      <c r="B45" s="38" t="s">
        <v>22</v>
      </c>
      <c r="C45" s="12"/>
      <c r="D45" s="12"/>
      <c r="E45" s="12"/>
      <c r="F45" s="12"/>
      <c r="G45" s="12"/>
      <c r="H45" s="12"/>
      <c r="I45" s="12"/>
      <c r="J45" s="12"/>
      <c r="K45" s="13"/>
      <c r="L45" s="13"/>
      <c r="M45" s="13"/>
      <c r="N45" s="13"/>
      <c r="O45" s="17">
        <f>SUM(C45:N45)</f>
        <v>0</v>
      </c>
    </row>
    <row r="46" spans="2:15" x14ac:dyDescent="0.2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ht="10.5" x14ac:dyDescent="0.2">
      <c r="B48" s="49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f>SUM(C48:N48)</f>
        <v>0</v>
      </c>
    </row>
    <row r="49" spans="2:15" ht="10.5" x14ac:dyDescent="0.25">
      <c r="B49" s="4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2:15" ht="42" x14ac:dyDescent="0.25">
      <c r="B50" s="35" t="s">
        <v>30</v>
      </c>
      <c r="C50" s="21" t="s">
        <v>16</v>
      </c>
      <c r="D50" s="21" t="s">
        <v>17</v>
      </c>
      <c r="E50" s="21" t="s">
        <v>27</v>
      </c>
      <c r="F50" s="21" t="s">
        <v>28</v>
      </c>
      <c r="G50" s="21" t="s">
        <v>18</v>
      </c>
      <c r="H50" s="21" t="s">
        <v>19</v>
      </c>
      <c r="I50" s="21" t="s">
        <v>12</v>
      </c>
      <c r="J50" s="21" t="s">
        <v>13</v>
      </c>
      <c r="K50" s="21" t="s">
        <v>15</v>
      </c>
      <c r="L50" s="21" t="s">
        <v>14</v>
      </c>
      <c r="M50" s="21" t="s">
        <v>29</v>
      </c>
      <c r="N50" s="21" t="s">
        <v>1</v>
      </c>
      <c r="O50" s="22" t="s">
        <v>2</v>
      </c>
    </row>
    <row r="51" spans="2:15" ht="10.5" x14ac:dyDescent="0.25">
      <c r="B51" s="36" t="s">
        <v>31</v>
      </c>
      <c r="C51" s="1">
        <f t="shared" ref="C51:N51" si="10">SUM(C52:C54)</f>
        <v>7464</v>
      </c>
      <c r="D51" s="1">
        <f t="shared" si="10"/>
        <v>4920</v>
      </c>
      <c r="E51" s="1">
        <f t="shared" si="10"/>
        <v>1018</v>
      </c>
      <c r="F51" s="1">
        <f t="shared" si="10"/>
        <v>42</v>
      </c>
      <c r="G51" s="1">
        <f t="shared" si="10"/>
        <v>0</v>
      </c>
      <c r="H51" s="1">
        <f t="shared" si="10"/>
        <v>2165</v>
      </c>
      <c r="I51" s="1">
        <f t="shared" si="10"/>
        <v>2543</v>
      </c>
      <c r="J51" s="1">
        <f t="shared" si="10"/>
        <v>1519</v>
      </c>
      <c r="K51" s="1">
        <f t="shared" si="10"/>
        <v>4618</v>
      </c>
      <c r="L51" s="1">
        <f t="shared" si="10"/>
        <v>0</v>
      </c>
      <c r="M51" s="1">
        <f t="shared" si="10"/>
        <v>0</v>
      </c>
      <c r="N51" s="1">
        <f t="shared" si="10"/>
        <v>0</v>
      </c>
      <c r="O51" s="1">
        <f>SUM(C51:N51)</f>
        <v>24289</v>
      </c>
    </row>
    <row r="52" spans="2:15" x14ac:dyDescent="0.2">
      <c r="B52" s="37" t="s">
        <v>21</v>
      </c>
      <c r="C52" s="3"/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16">
        <f>SUM(C52:N52)</f>
        <v>0</v>
      </c>
    </row>
    <row r="53" spans="2:15" x14ac:dyDescent="0.2">
      <c r="B53" s="37" t="s">
        <v>23</v>
      </c>
      <c r="C53" s="3">
        <v>7464</v>
      </c>
      <c r="D53" s="3">
        <v>4920</v>
      </c>
      <c r="E53" s="3">
        <v>1018</v>
      </c>
      <c r="F53" s="3">
        <v>42</v>
      </c>
      <c r="G53" s="3"/>
      <c r="H53" s="3">
        <v>2165</v>
      </c>
      <c r="I53" s="3">
        <v>2543</v>
      </c>
      <c r="J53" s="3">
        <v>1519</v>
      </c>
      <c r="K53" s="4">
        <v>4618</v>
      </c>
      <c r="L53" s="4"/>
      <c r="M53" s="4"/>
      <c r="N53" s="4"/>
      <c r="O53" s="16">
        <f>SUM(C53:N53)</f>
        <v>24289</v>
      </c>
    </row>
    <row r="54" spans="2:15" x14ac:dyDescent="0.2">
      <c r="B54" s="38" t="s">
        <v>22</v>
      </c>
      <c r="C54" s="12"/>
      <c r="D54" s="12"/>
      <c r="E54" s="12"/>
      <c r="F54" s="12"/>
      <c r="G54" s="12"/>
      <c r="H54" s="12"/>
      <c r="I54" s="12"/>
      <c r="J54" s="12"/>
      <c r="K54" s="13"/>
      <c r="L54" s="13"/>
      <c r="M54" s="13"/>
      <c r="N54" s="13"/>
      <c r="O54" s="17">
        <f>SUM(C54:N54)</f>
        <v>0</v>
      </c>
    </row>
    <row r="55" spans="2:15" ht="10.5" x14ac:dyDescent="0.25">
      <c r="B55" s="4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2:15" ht="10.5" x14ac:dyDescent="0.25">
      <c r="B56" s="41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2:15" ht="10.5" x14ac:dyDescent="0.25">
      <c r="B57" s="49" t="s">
        <v>41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4"/>
    </row>
    <row r="58" spans="2:15" ht="10.5" x14ac:dyDescent="0.25">
      <c r="B58" s="4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2:15" ht="42" x14ac:dyDescent="0.25">
      <c r="B59" s="35" t="s">
        <v>9</v>
      </c>
      <c r="C59" s="21" t="s">
        <v>16</v>
      </c>
      <c r="D59" s="21" t="s">
        <v>17</v>
      </c>
      <c r="E59" s="21" t="s">
        <v>27</v>
      </c>
      <c r="F59" s="21" t="s">
        <v>28</v>
      </c>
      <c r="G59" s="21" t="s">
        <v>18</v>
      </c>
      <c r="H59" s="21" t="s">
        <v>19</v>
      </c>
      <c r="I59" s="21" t="s">
        <v>12</v>
      </c>
      <c r="J59" s="21" t="s">
        <v>13</v>
      </c>
      <c r="K59" s="21" t="s">
        <v>15</v>
      </c>
      <c r="L59" s="21" t="s">
        <v>14</v>
      </c>
      <c r="M59" s="21" t="s">
        <v>29</v>
      </c>
      <c r="N59" s="21" t="s">
        <v>1</v>
      </c>
      <c r="O59" s="22" t="s">
        <v>2</v>
      </c>
    </row>
    <row r="60" spans="2:15" ht="10.5" x14ac:dyDescent="0.25">
      <c r="B60" s="3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</row>
    <row r="61" spans="2:15" ht="10.5" x14ac:dyDescent="0.25">
      <c r="B61" s="43" t="s">
        <v>33</v>
      </c>
      <c r="C61" s="9">
        <f>SUM(C62,C66)</f>
        <v>834968018.74999988</v>
      </c>
      <c r="D61" s="9">
        <f t="shared" ref="D61:N61" si="11">SUM(D62,D66)</f>
        <v>391239563.68000001</v>
      </c>
      <c r="E61" s="9">
        <f t="shared" si="11"/>
        <v>14281594.140000001</v>
      </c>
      <c r="F61" s="9">
        <f t="shared" si="11"/>
        <v>13507073.02</v>
      </c>
      <c r="G61" s="9">
        <f t="shared" si="11"/>
        <v>0</v>
      </c>
      <c r="H61" s="9">
        <f t="shared" si="11"/>
        <v>11959671.640000001</v>
      </c>
      <c r="I61" s="9">
        <f t="shared" si="11"/>
        <v>115456351.76000001</v>
      </c>
      <c r="J61" s="9">
        <f t="shared" si="11"/>
        <v>145386352.69</v>
      </c>
      <c r="K61" s="9">
        <f t="shared" si="11"/>
        <v>407847489.68999994</v>
      </c>
      <c r="L61" s="9">
        <f t="shared" si="11"/>
        <v>0</v>
      </c>
      <c r="M61" s="9">
        <f t="shared" si="11"/>
        <v>0</v>
      </c>
      <c r="N61" s="9">
        <f t="shared" si="11"/>
        <v>0</v>
      </c>
      <c r="O61" s="10">
        <f t="shared" ref="O61:O69" si="12">SUM(C61:N61)</f>
        <v>1934646115.3699999</v>
      </c>
    </row>
    <row r="62" spans="2:15" ht="10.5" x14ac:dyDescent="0.25">
      <c r="B62" s="36" t="s">
        <v>34</v>
      </c>
      <c r="C62" s="1">
        <f t="shared" ref="C62:N62" si="13">SUM(C63:C65)</f>
        <v>824505851.68999994</v>
      </c>
      <c r="D62" s="1">
        <f t="shared" si="13"/>
        <v>391239563.68000001</v>
      </c>
      <c r="E62" s="1">
        <f t="shared" si="13"/>
        <v>14281594.140000001</v>
      </c>
      <c r="F62" s="1">
        <f t="shared" si="13"/>
        <v>13507073.02</v>
      </c>
      <c r="G62" s="1">
        <f t="shared" si="13"/>
        <v>0</v>
      </c>
      <c r="H62" s="1">
        <f t="shared" si="13"/>
        <v>9362554.4100000001</v>
      </c>
      <c r="I62" s="1">
        <f t="shared" si="13"/>
        <v>102537787.01000001</v>
      </c>
      <c r="J62" s="1">
        <f t="shared" si="13"/>
        <v>145386352.69</v>
      </c>
      <c r="K62" s="1">
        <f t="shared" si="13"/>
        <v>407847489.68999994</v>
      </c>
      <c r="L62" s="1">
        <f t="shared" si="13"/>
        <v>0</v>
      </c>
      <c r="M62" s="1">
        <f t="shared" si="13"/>
        <v>0</v>
      </c>
      <c r="N62" s="1">
        <f t="shared" si="13"/>
        <v>0</v>
      </c>
      <c r="O62" s="11">
        <f t="shared" si="12"/>
        <v>1908668266.3299999</v>
      </c>
    </row>
    <row r="63" spans="2:15" x14ac:dyDescent="0.2">
      <c r="B63" s="37" t="s">
        <v>21</v>
      </c>
      <c r="C63" s="3"/>
      <c r="D63" s="3"/>
      <c r="E63" s="3"/>
      <c r="F63" s="3"/>
      <c r="G63" s="3"/>
      <c r="H63" s="3"/>
      <c r="I63" s="3"/>
      <c r="J63" s="3"/>
      <c r="K63" s="4"/>
      <c r="L63" s="4"/>
      <c r="M63" s="4"/>
      <c r="N63" s="4"/>
      <c r="O63" s="5">
        <f t="shared" si="12"/>
        <v>0</v>
      </c>
    </row>
    <row r="64" spans="2:15" x14ac:dyDescent="0.2">
      <c r="B64" s="37" t="s">
        <v>23</v>
      </c>
      <c r="C64" s="3">
        <v>824505851.68999994</v>
      </c>
      <c r="D64" s="3">
        <v>391239563.68000001</v>
      </c>
      <c r="E64" s="3">
        <v>14281594.140000001</v>
      </c>
      <c r="F64" s="3">
        <v>13507073.02</v>
      </c>
      <c r="G64" s="3"/>
      <c r="H64" s="3">
        <v>9362554.4100000001</v>
      </c>
      <c r="I64" s="3">
        <v>102537787.01000001</v>
      </c>
      <c r="J64" s="3">
        <v>145386352.69</v>
      </c>
      <c r="K64" s="4">
        <v>407847489.68999994</v>
      </c>
      <c r="L64" s="4"/>
      <c r="M64" s="4"/>
      <c r="N64" s="4"/>
      <c r="O64" s="5">
        <f t="shared" si="12"/>
        <v>1908668266.3299999</v>
      </c>
    </row>
    <row r="65" spans="2:15" x14ac:dyDescent="0.2">
      <c r="B65" s="38" t="s">
        <v>22</v>
      </c>
      <c r="C65" s="12"/>
      <c r="D65" s="12"/>
      <c r="E65" s="12"/>
      <c r="F65" s="12"/>
      <c r="G65" s="12"/>
      <c r="H65" s="12"/>
      <c r="I65" s="12"/>
      <c r="J65" s="12"/>
      <c r="K65" s="13"/>
      <c r="L65" s="13"/>
      <c r="M65" s="13"/>
      <c r="N65" s="13"/>
      <c r="O65" s="14">
        <f t="shared" si="12"/>
        <v>0</v>
      </c>
    </row>
    <row r="66" spans="2:15" ht="10.5" x14ac:dyDescent="0.25">
      <c r="B66" s="36" t="s">
        <v>35</v>
      </c>
      <c r="C66" s="15">
        <f t="shared" ref="C66:N66" si="14">SUM(C67:C69)</f>
        <v>10462167.059999999</v>
      </c>
      <c r="D66" s="15">
        <f t="shared" si="14"/>
        <v>0</v>
      </c>
      <c r="E66" s="15">
        <f t="shared" si="14"/>
        <v>0</v>
      </c>
      <c r="F66" s="15">
        <f t="shared" si="14"/>
        <v>0</v>
      </c>
      <c r="G66" s="15">
        <f t="shared" si="14"/>
        <v>0</v>
      </c>
      <c r="H66" s="15">
        <f t="shared" si="14"/>
        <v>2597117.23</v>
      </c>
      <c r="I66" s="15">
        <f t="shared" si="14"/>
        <v>12918564.75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2">
        <f t="shared" si="12"/>
        <v>25977849.039999999</v>
      </c>
    </row>
    <row r="67" spans="2:15" x14ac:dyDescent="0.2">
      <c r="B67" s="37" t="s">
        <v>21</v>
      </c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5">
        <f t="shared" si="12"/>
        <v>0</v>
      </c>
    </row>
    <row r="68" spans="2:15" x14ac:dyDescent="0.2">
      <c r="B68" s="37" t="s">
        <v>23</v>
      </c>
      <c r="C68" s="3">
        <v>10462167.059999999</v>
      </c>
      <c r="D68" s="3"/>
      <c r="E68" s="3"/>
      <c r="F68" s="3"/>
      <c r="G68" s="3"/>
      <c r="H68" s="3">
        <v>2597117.23</v>
      </c>
      <c r="I68" s="3">
        <v>12918564.75</v>
      </c>
      <c r="J68" s="3"/>
      <c r="K68" s="4"/>
      <c r="L68" s="4"/>
      <c r="M68" s="4"/>
      <c r="N68" s="4"/>
      <c r="O68" s="5">
        <f t="shared" si="12"/>
        <v>25977849.039999999</v>
      </c>
    </row>
    <row r="69" spans="2:15" x14ac:dyDescent="0.2">
      <c r="B69" s="38" t="s">
        <v>22</v>
      </c>
      <c r="C69" s="12"/>
      <c r="D69" s="12"/>
      <c r="E69" s="12"/>
      <c r="F69" s="12"/>
      <c r="G69" s="12"/>
      <c r="H69" s="12"/>
      <c r="I69" s="12"/>
      <c r="J69" s="12"/>
      <c r="K69" s="13"/>
      <c r="L69" s="13"/>
      <c r="M69" s="13"/>
      <c r="N69" s="13"/>
      <c r="O69" s="14">
        <f t="shared" si="12"/>
        <v>0</v>
      </c>
    </row>
    <row r="70" spans="2:15" x14ac:dyDescent="0.25">
      <c r="B70" s="44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2"/>
      <c r="O70" s="32"/>
    </row>
    <row r="71" spans="2:15" ht="10.5" x14ac:dyDescent="0.25">
      <c r="B71" s="43" t="s">
        <v>11</v>
      </c>
      <c r="C71" s="9">
        <f t="shared" ref="C71:N71" si="15">SUM(C72,C76)</f>
        <v>652437831.99000001</v>
      </c>
      <c r="D71" s="9">
        <f t="shared" si="15"/>
        <v>457257457.74999988</v>
      </c>
      <c r="E71" s="9">
        <f t="shared" si="15"/>
        <v>26053387.309999999</v>
      </c>
      <c r="F71" s="9">
        <f t="shared" si="15"/>
        <v>1502159.78</v>
      </c>
      <c r="G71" s="9">
        <f t="shared" si="15"/>
        <v>0</v>
      </c>
      <c r="H71" s="9">
        <f t="shared" si="15"/>
        <v>2921206.6500000004</v>
      </c>
      <c r="I71" s="9">
        <f t="shared" si="15"/>
        <v>72439111.019999996</v>
      </c>
      <c r="J71" s="9">
        <f t="shared" si="15"/>
        <v>100204983.28999999</v>
      </c>
      <c r="K71" s="9">
        <f t="shared" si="15"/>
        <v>308527870.27999997</v>
      </c>
      <c r="L71" s="9">
        <f t="shared" si="15"/>
        <v>0</v>
      </c>
      <c r="M71" s="9">
        <f t="shared" si="15"/>
        <v>0</v>
      </c>
      <c r="N71" s="9">
        <f t="shared" si="15"/>
        <v>0</v>
      </c>
      <c r="O71" s="10">
        <f t="shared" ref="O71:O82" si="16">SUM(C71:N71)</f>
        <v>1621344008.0699997</v>
      </c>
    </row>
    <row r="72" spans="2:15" ht="10.5" x14ac:dyDescent="0.25">
      <c r="B72" s="36" t="s">
        <v>24</v>
      </c>
      <c r="C72" s="1">
        <f t="shared" ref="C72:N72" si="17">SUM(C73:C75)</f>
        <v>502127113.42000002</v>
      </c>
      <c r="D72" s="1">
        <f t="shared" si="17"/>
        <v>457257457.74999988</v>
      </c>
      <c r="E72" s="1">
        <f t="shared" si="17"/>
        <v>25604387.309999999</v>
      </c>
      <c r="F72" s="1">
        <f t="shared" si="17"/>
        <v>1502159.78</v>
      </c>
      <c r="G72" s="1">
        <f t="shared" si="17"/>
        <v>0</v>
      </c>
      <c r="H72" s="1">
        <f t="shared" si="17"/>
        <v>2886206.6500000004</v>
      </c>
      <c r="I72" s="1">
        <f t="shared" si="17"/>
        <v>72439111.019999996</v>
      </c>
      <c r="J72" s="1">
        <f t="shared" si="17"/>
        <v>100204983.28999999</v>
      </c>
      <c r="K72" s="1">
        <f t="shared" si="17"/>
        <v>108893965.59</v>
      </c>
      <c r="L72" s="1">
        <f t="shared" si="17"/>
        <v>0</v>
      </c>
      <c r="M72" s="1">
        <f t="shared" si="17"/>
        <v>0</v>
      </c>
      <c r="N72" s="1">
        <f t="shared" si="17"/>
        <v>0</v>
      </c>
      <c r="O72" s="1">
        <f t="shared" si="16"/>
        <v>1270915384.8099997</v>
      </c>
    </row>
    <row r="73" spans="2:15" x14ac:dyDescent="0.2">
      <c r="B73" s="37" t="s">
        <v>21</v>
      </c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16">
        <f t="shared" si="16"/>
        <v>0</v>
      </c>
    </row>
    <row r="74" spans="2:15" x14ac:dyDescent="0.2">
      <c r="B74" s="37" t="s">
        <v>23</v>
      </c>
      <c r="C74" s="3">
        <v>502127113.42000002</v>
      </c>
      <c r="D74" s="3">
        <v>457257457.74999988</v>
      </c>
      <c r="E74" s="3">
        <v>25604387.309999999</v>
      </c>
      <c r="F74" s="3">
        <v>1502159.78</v>
      </c>
      <c r="G74" s="3"/>
      <c r="H74" s="3">
        <v>2886206.6500000004</v>
      </c>
      <c r="I74" s="3">
        <v>72439111.019999996</v>
      </c>
      <c r="J74" s="3">
        <v>100204983.28999999</v>
      </c>
      <c r="K74" s="4">
        <v>108893965.59</v>
      </c>
      <c r="L74" s="4"/>
      <c r="M74" s="4"/>
      <c r="N74" s="4"/>
      <c r="O74" s="16">
        <f t="shared" si="16"/>
        <v>1270915384.8099997</v>
      </c>
    </row>
    <row r="75" spans="2:15" x14ac:dyDescent="0.2">
      <c r="B75" s="38" t="s">
        <v>22</v>
      </c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17">
        <f t="shared" si="16"/>
        <v>0</v>
      </c>
    </row>
    <row r="76" spans="2:15" ht="10.5" x14ac:dyDescent="0.25">
      <c r="B76" s="36" t="s">
        <v>10</v>
      </c>
      <c r="C76" s="1">
        <f t="shared" ref="C76:N76" si="18">SUM(C77:C79)</f>
        <v>150310718.56999999</v>
      </c>
      <c r="D76" s="1">
        <f t="shared" si="18"/>
        <v>0</v>
      </c>
      <c r="E76" s="1">
        <f t="shared" si="18"/>
        <v>449000</v>
      </c>
      <c r="F76" s="1">
        <f t="shared" si="18"/>
        <v>0</v>
      </c>
      <c r="G76" s="1">
        <f t="shared" si="18"/>
        <v>0</v>
      </c>
      <c r="H76" s="1">
        <f t="shared" si="18"/>
        <v>35000</v>
      </c>
      <c r="I76" s="1">
        <f t="shared" si="18"/>
        <v>0</v>
      </c>
      <c r="J76" s="1">
        <f t="shared" si="18"/>
        <v>0</v>
      </c>
      <c r="K76" s="1">
        <f t="shared" si="18"/>
        <v>199633904.69</v>
      </c>
      <c r="L76" s="1">
        <f t="shared" si="18"/>
        <v>0</v>
      </c>
      <c r="M76" s="1">
        <f t="shared" si="18"/>
        <v>0</v>
      </c>
      <c r="N76" s="1">
        <f t="shared" si="18"/>
        <v>0</v>
      </c>
      <c r="O76" s="1">
        <f t="shared" si="16"/>
        <v>350428623.25999999</v>
      </c>
    </row>
    <row r="77" spans="2:15" x14ac:dyDescent="0.2">
      <c r="B77" s="37" t="s">
        <v>21</v>
      </c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16">
        <f t="shared" si="16"/>
        <v>0</v>
      </c>
    </row>
    <row r="78" spans="2:15" x14ac:dyDescent="0.2">
      <c r="B78" s="37" t="s">
        <v>23</v>
      </c>
      <c r="C78" s="3">
        <v>150310718.56999999</v>
      </c>
      <c r="D78" s="3"/>
      <c r="E78" s="3">
        <v>449000</v>
      </c>
      <c r="F78" s="3"/>
      <c r="G78" s="3"/>
      <c r="H78" s="3">
        <v>35000</v>
      </c>
      <c r="I78" s="3"/>
      <c r="J78" s="3"/>
      <c r="K78" s="4">
        <v>199633904.69</v>
      </c>
      <c r="L78" s="4"/>
      <c r="M78" s="4"/>
      <c r="N78" s="4"/>
      <c r="O78" s="16">
        <f t="shared" si="16"/>
        <v>350428623.25999999</v>
      </c>
    </row>
    <row r="79" spans="2:15" x14ac:dyDescent="0.2">
      <c r="B79" s="38" t="s">
        <v>22</v>
      </c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17">
        <f t="shared" si="16"/>
        <v>0</v>
      </c>
    </row>
    <row r="80" spans="2:15" ht="11" thickBot="1" x14ac:dyDescent="0.3">
      <c r="B80" s="39" t="s">
        <v>38</v>
      </c>
      <c r="C80" s="6">
        <f>C61-C71</f>
        <v>182530186.75999987</v>
      </c>
      <c r="D80" s="6">
        <f t="shared" ref="D80:N80" si="19">D61-D71</f>
        <v>-66017894.069999874</v>
      </c>
      <c r="E80" s="6">
        <f t="shared" si="19"/>
        <v>-11771793.169999998</v>
      </c>
      <c r="F80" s="6">
        <f t="shared" si="19"/>
        <v>12004913.24</v>
      </c>
      <c r="G80" s="6">
        <f t="shared" si="19"/>
        <v>0</v>
      </c>
      <c r="H80" s="6">
        <f t="shared" si="19"/>
        <v>9038464.9900000002</v>
      </c>
      <c r="I80" s="6">
        <f t="shared" si="19"/>
        <v>43017240.74000001</v>
      </c>
      <c r="J80" s="6">
        <f t="shared" si="19"/>
        <v>45181369.400000006</v>
      </c>
      <c r="K80" s="6">
        <f t="shared" si="19"/>
        <v>99319619.409999967</v>
      </c>
      <c r="L80" s="6">
        <f>L61-L71</f>
        <v>0</v>
      </c>
      <c r="M80" s="6">
        <f t="shared" si="19"/>
        <v>0</v>
      </c>
      <c r="N80" s="6">
        <f t="shared" si="19"/>
        <v>0</v>
      </c>
      <c r="O80" s="7">
        <f t="shared" si="16"/>
        <v>313302107.29999995</v>
      </c>
    </row>
    <row r="81" spans="2:15" ht="10.5" thickTop="1" x14ac:dyDescent="0.25">
      <c r="B81" s="4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x14ac:dyDescent="0.25">
      <c r="B82" s="46" t="s">
        <v>32</v>
      </c>
      <c r="C82" s="48">
        <v>185812040.53</v>
      </c>
      <c r="D82" s="48">
        <v>0</v>
      </c>
      <c r="E82" s="48">
        <v>6440478.9199999999</v>
      </c>
      <c r="F82" s="48"/>
      <c r="G82" s="48"/>
      <c r="H82" s="48">
        <v>2853189.92</v>
      </c>
      <c r="I82" s="48">
        <v>55196992.490000002</v>
      </c>
      <c r="J82" s="48">
        <v>64578175.730000004</v>
      </c>
      <c r="K82" s="48">
        <v>162357169.75</v>
      </c>
      <c r="L82" s="48"/>
      <c r="M82" s="48"/>
      <c r="N82" s="48"/>
      <c r="O82" s="48">
        <f t="shared" si="16"/>
        <v>477238047.33999997</v>
      </c>
    </row>
  </sheetData>
  <pageMargins left="0.75" right="0.75" top="1" bottom="1" header="0.5" footer="0.5"/>
  <pageSetup paperSize="9" scale="44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A9F6-88D0-4B93-ADE0-499E74E4B8E4}">
  <sheetPr>
    <pageSetUpPr fitToPage="1"/>
  </sheetPr>
  <dimension ref="B1:O82"/>
  <sheetViews>
    <sheetView showGridLines="0" zoomScale="90" zoomScaleNormal="90" workbookViewId="0">
      <selection activeCell="A8" sqref="A1:XFD1048576"/>
    </sheetView>
  </sheetViews>
  <sheetFormatPr defaultColWidth="9.26953125" defaultRowHeight="10" x14ac:dyDescent="0.25"/>
  <cols>
    <col min="1" max="1" width="2.7265625" style="33" customWidth="1"/>
    <col min="2" max="2" width="47" style="33" customWidth="1"/>
    <col min="3" max="3" width="13.26953125" style="19" customWidth="1"/>
    <col min="4" max="4" width="16.26953125" style="19" customWidth="1"/>
    <col min="5" max="5" width="14.453125" style="19" customWidth="1"/>
    <col min="6" max="6" width="15.7265625" style="19" customWidth="1"/>
    <col min="7" max="8" width="16.54296875" style="19" customWidth="1"/>
    <col min="9" max="9" width="13.7265625" style="19" customWidth="1"/>
    <col min="10" max="10" width="17.26953125" style="19" customWidth="1"/>
    <col min="11" max="11" width="11.7265625" style="19" bestFit="1" customWidth="1"/>
    <col min="12" max="12" width="12.7265625" style="19" customWidth="1"/>
    <col min="13" max="13" width="14" style="19" customWidth="1"/>
    <col min="14" max="14" width="14.54296875" style="19" customWidth="1"/>
    <col min="15" max="15" width="12.453125" style="19" customWidth="1"/>
    <col min="16" max="16" width="2.7265625" style="33" customWidth="1"/>
    <col min="17" max="16384" width="9.26953125" style="33"/>
  </cols>
  <sheetData>
    <row r="1" spans="2:15" ht="10.5" x14ac:dyDescent="0.25">
      <c r="B1" s="34" t="s">
        <v>39</v>
      </c>
      <c r="C1" s="18"/>
      <c r="D1" s="18"/>
      <c r="E1" s="18"/>
      <c r="F1" s="18"/>
      <c r="G1" s="18"/>
    </row>
    <row r="2" spans="2:15" ht="10.5" x14ac:dyDescent="0.25">
      <c r="B2" s="34" t="s">
        <v>52</v>
      </c>
      <c r="C2" s="20"/>
      <c r="D2" s="20"/>
    </row>
    <row r="5" spans="2:15" ht="10.5" x14ac:dyDescent="0.25">
      <c r="B5" s="34" t="s">
        <v>40</v>
      </c>
    </row>
    <row r="7" spans="2:15" ht="42" x14ac:dyDescent="0.25">
      <c r="B7" s="35" t="s">
        <v>0</v>
      </c>
      <c r="C7" s="21" t="s">
        <v>16</v>
      </c>
      <c r="D7" s="21" t="s">
        <v>17</v>
      </c>
      <c r="E7" s="21" t="s">
        <v>27</v>
      </c>
      <c r="F7" s="21" t="s">
        <v>28</v>
      </c>
      <c r="G7" s="21" t="s">
        <v>18</v>
      </c>
      <c r="H7" s="21" t="s">
        <v>20</v>
      </c>
      <c r="I7" s="21" t="s">
        <v>12</v>
      </c>
      <c r="J7" s="21" t="s">
        <v>13</v>
      </c>
      <c r="K7" s="21" t="s">
        <v>15</v>
      </c>
      <c r="L7" s="21" t="s">
        <v>14</v>
      </c>
      <c r="M7" s="21" t="s">
        <v>29</v>
      </c>
      <c r="N7" s="21" t="s">
        <v>1</v>
      </c>
      <c r="O7" s="22" t="s">
        <v>2</v>
      </c>
    </row>
    <row r="8" spans="2:15" ht="10.5" x14ac:dyDescent="0.25">
      <c r="B8" s="36" t="s">
        <v>3</v>
      </c>
      <c r="C8" s="1">
        <v>1230555756.3099997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485002205.65000004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1715557961.9599998</v>
      </c>
    </row>
    <row r="9" spans="2:15" x14ac:dyDescent="0.2">
      <c r="B9" s="37" t="s">
        <v>21</v>
      </c>
      <c r="C9" s="3">
        <v>1230555756.3099997</v>
      </c>
      <c r="D9" s="3"/>
      <c r="E9" s="3"/>
      <c r="F9" s="3"/>
      <c r="G9" s="3"/>
      <c r="H9" s="3"/>
      <c r="I9" s="3">
        <v>485002205.65000004</v>
      </c>
      <c r="J9" s="3"/>
      <c r="K9" s="4"/>
      <c r="L9" s="4"/>
      <c r="M9" s="4"/>
      <c r="N9" s="4"/>
      <c r="O9" s="16">
        <v>1715557961.9599998</v>
      </c>
    </row>
    <row r="10" spans="2:15" x14ac:dyDescent="0.2">
      <c r="B10" s="37" t="s">
        <v>23</v>
      </c>
      <c r="C10" s="3"/>
      <c r="D10" s="3"/>
      <c r="E10" s="3"/>
      <c r="F10" s="3"/>
      <c r="G10" s="3"/>
      <c r="H10" s="3"/>
      <c r="I10" s="3"/>
      <c r="J10" s="3"/>
      <c r="K10" s="4"/>
      <c r="L10" s="4"/>
      <c r="M10" s="4"/>
      <c r="N10" s="4"/>
      <c r="O10" s="16">
        <v>0</v>
      </c>
    </row>
    <row r="11" spans="2:15" x14ac:dyDescent="0.2">
      <c r="B11" s="38" t="s">
        <v>22</v>
      </c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4"/>
      <c r="O11" s="17">
        <v>0</v>
      </c>
    </row>
    <row r="12" spans="2:15" ht="10.5" x14ac:dyDescent="0.25">
      <c r="B12" s="36" t="s">
        <v>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2:15" x14ac:dyDescent="0.2">
      <c r="B13" s="37" t="s">
        <v>21</v>
      </c>
      <c r="C13" s="3"/>
      <c r="D13" s="3"/>
      <c r="E13" s="3"/>
      <c r="F13" s="3"/>
      <c r="G13" s="3"/>
      <c r="H13" s="3"/>
      <c r="I13" s="3"/>
      <c r="J13" s="3"/>
      <c r="K13" s="4"/>
      <c r="L13" s="4"/>
      <c r="M13" s="4"/>
      <c r="N13" s="4"/>
      <c r="O13" s="16">
        <v>0</v>
      </c>
    </row>
    <row r="14" spans="2:15" x14ac:dyDescent="0.2">
      <c r="B14" s="37" t="s">
        <v>23</v>
      </c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4"/>
      <c r="O14" s="16">
        <v>0</v>
      </c>
    </row>
    <row r="15" spans="2:15" x14ac:dyDescent="0.2">
      <c r="B15" s="38" t="s">
        <v>22</v>
      </c>
      <c r="C15" s="3"/>
      <c r="D15" s="3"/>
      <c r="E15" s="3"/>
      <c r="F15" s="3"/>
      <c r="G15" s="3"/>
      <c r="H15" s="3"/>
      <c r="I15" s="3"/>
      <c r="J15" s="3"/>
      <c r="K15" s="4"/>
      <c r="L15" s="4"/>
      <c r="M15" s="4"/>
      <c r="N15" s="4"/>
      <c r="O15" s="17">
        <v>0</v>
      </c>
    </row>
    <row r="16" spans="2:15" ht="10.5" x14ac:dyDescent="0.25">
      <c r="B16" s="36" t="s">
        <v>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2:15" x14ac:dyDescent="0.2">
      <c r="B17" s="37" t="s">
        <v>21</v>
      </c>
      <c r="C17" s="3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16">
        <v>0</v>
      </c>
    </row>
    <row r="18" spans="2:15" x14ac:dyDescent="0.2">
      <c r="B18" s="37" t="s">
        <v>23</v>
      </c>
      <c r="C18" s="3"/>
      <c r="D18" s="3"/>
      <c r="E18" s="3"/>
      <c r="F18" s="3"/>
      <c r="G18" s="3"/>
      <c r="H18" s="3"/>
      <c r="I18" s="3"/>
      <c r="J18" s="3"/>
      <c r="K18" s="4"/>
      <c r="L18" s="4"/>
      <c r="M18" s="4"/>
      <c r="N18" s="4"/>
      <c r="O18" s="16">
        <v>0</v>
      </c>
    </row>
    <row r="19" spans="2:15" x14ac:dyDescent="0.2">
      <c r="B19" s="38" t="s">
        <v>22</v>
      </c>
      <c r="C19" s="3"/>
      <c r="D19" s="3"/>
      <c r="E19" s="3"/>
      <c r="F19" s="3"/>
      <c r="G19" s="3"/>
      <c r="H19" s="3"/>
      <c r="I19" s="3"/>
      <c r="J19" s="3"/>
      <c r="K19" s="4"/>
      <c r="L19" s="4"/>
      <c r="M19" s="4"/>
      <c r="N19" s="4"/>
      <c r="O19" s="17">
        <v>0</v>
      </c>
    </row>
    <row r="20" spans="2:15" ht="10.5" x14ac:dyDescent="0.25">
      <c r="B20" s="36" t="s">
        <v>6</v>
      </c>
      <c r="C20" s="1">
        <v>18799447.219999999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18799447.219999999</v>
      </c>
    </row>
    <row r="21" spans="2:15" x14ac:dyDescent="0.2">
      <c r="B21" s="37" t="s">
        <v>21</v>
      </c>
      <c r="C21" s="3">
        <v>18799447.219999999</v>
      </c>
      <c r="D21" s="3"/>
      <c r="E21" s="3"/>
      <c r="F21" s="3"/>
      <c r="G21" s="3"/>
      <c r="H21" s="3"/>
      <c r="I21" s="3">
        <v>0</v>
      </c>
      <c r="J21" s="3"/>
      <c r="K21" s="4"/>
      <c r="L21" s="4"/>
      <c r="M21" s="4"/>
      <c r="N21" s="4"/>
      <c r="O21" s="16">
        <v>18799447.219999999</v>
      </c>
    </row>
    <row r="22" spans="2:15" x14ac:dyDescent="0.2">
      <c r="B22" s="37" t="s">
        <v>23</v>
      </c>
      <c r="C22" s="3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16">
        <v>0</v>
      </c>
    </row>
    <row r="23" spans="2:15" x14ac:dyDescent="0.2">
      <c r="B23" s="38" t="s">
        <v>22</v>
      </c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17">
        <v>0</v>
      </c>
    </row>
    <row r="24" spans="2:15" ht="10.5" x14ac:dyDescent="0.25">
      <c r="B24" s="36" t="s">
        <v>25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2:15" x14ac:dyDescent="0.2">
      <c r="B25" s="37" t="s">
        <v>21</v>
      </c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4"/>
      <c r="O25" s="16">
        <v>0</v>
      </c>
    </row>
    <row r="26" spans="2:15" x14ac:dyDescent="0.2">
      <c r="B26" s="37" t="s">
        <v>23</v>
      </c>
      <c r="C26" s="3"/>
      <c r="D26" s="3"/>
      <c r="E26" s="3"/>
      <c r="F26" s="3"/>
      <c r="G26" s="3"/>
      <c r="H26" s="3"/>
      <c r="I26" s="3"/>
      <c r="J26" s="3"/>
      <c r="K26" s="4"/>
      <c r="L26" s="4"/>
      <c r="M26" s="4"/>
      <c r="N26" s="4"/>
      <c r="O26" s="16">
        <v>0</v>
      </c>
    </row>
    <row r="27" spans="2:15" x14ac:dyDescent="0.2">
      <c r="B27" s="38" t="s">
        <v>22</v>
      </c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17">
        <v>0</v>
      </c>
    </row>
    <row r="28" spans="2:15" ht="10.5" x14ac:dyDescent="0.25">
      <c r="B28" s="36" t="s">
        <v>26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2:15" x14ac:dyDescent="0.2">
      <c r="B29" s="37" t="s">
        <v>21</v>
      </c>
      <c r="C29" s="3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16">
        <v>0</v>
      </c>
    </row>
    <row r="30" spans="2:15" x14ac:dyDescent="0.2">
      <c r="B30" s="37" t="s">
        <v>23</v>
      </c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4"/>
      <c r="O30" s="16">
        <v>0</v>
      </c>
    </row>
    <row r="31" spans="2:15" x14ac:dyDescent="0.2">
      <c r="B31" s="38" t="s">
        <v>22</v>
      </c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4"/>
      <c r="O31" s="17">
        <v>0</v>
      </c>
    </row>
    <row r="32" spans="2:15" ht="10.5" x14ac:dyDescent="0.25">
      <c r="B32" s="36" t="s"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2:15" x14ac:dyDescent="0.2">
      <c r="B33" s="37" t="s">
        <v>21</v>
      </c>
      <c r="C33" s="3"/>
      <c r="D33" s="3"/>
      <c r="E33" s="3"/>
      <c r="F33" s="3"/>
      <c r="G33" s="3"/>
      <c r="H33" s="3"/>
      <c r="I33" s="3"/>
      <c r="J33" s="3"/>
      <c r="K33" s="4"/>
      <c r="L33" s="4"/>
      <c r="M33" s="4"/>
      <c r="N33" s="4"/>
      <c r="O33" s="16">
        <v>0</v>
      </c>
    </row>
    <row r="34" spans="2:15" x14ac:dyDescent="0.2">
      <c r="B34" s="37" t="s">
        <v>23</v>
      </c>
      <c r="C34" s="3"/>
      <c r="D34" s="3"/>
      <c r="E34" s="3"/>
      <c r="F34" s="3"/>
      <c r="G34" s="3"/>
      <c r="H34" s="3"/>
      <c r="I34" s="3"/>
      <c r="J34" s="3"/>
      <c r="K34" s="4"/>
      <c r="L34" s="4"/>
      <c r="M34" s="4"/>
      <c r="N34" s="4"/>
      <c r="O34" s="16">
        <v>0</v>
      </c>
    </row>
    <row r="35" spans="2:15" x14ac:dyDescent="0.2">
      <c r="B35" s="38" t="s">
        <v>22</v>
      </c>
      <c r="C35" s="3"/>
      <c r="D35" s="3"/>
      <c r="E35" s="3"/>
      <c r="F35" s="3"/>
      <c r="G35" s="3"/>
      <c r="H35" s="3"/>
      <c r="I35" s="3"/>
      <c r="J35" s="3"/>
      <c r="K35" s="4"/>
      <c r="L35" s="4"/>
      <c r="M35" s="4"/>
      <c r="N35" s="4"/>
      <c r="O35" s="17">
        <v>0</v>
      </c>
    </row>
    <row r="36" spans="2:15" ht="11" thickBot="1" x14ac:dyDescent="0.3">
      <c r="B36" s="39" t="s">
        <v>2</v>
      </c>
      <c r="C36" s="6">
        <v>1249355203.5299997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485002205.65000004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7">
        <v>1734357409.1799998</v>
      </c>
    </row>
    <row r="37" spans="2:15" ht="11" thickTop="1" x14ac:dyDescent="0.25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0.5" x14ac:dyDescent="0.25">
      <c r="B38" s="4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ht="10.5" x14ac:dyDescent="0.2">
      <c r="B39" s="34" t="s">
        <v>37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v>0</v>
      </c>
    </row>
    <row r="40" spans="2:15" x14ac:dyDescent="0.25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42" x14ac:dyDescent="0.25">
      <c r="B41" s="35" t="s">
        <v>0</v>
      </c>
      <c r="C41" s="21" t="s">
        <v>16</v>
      </c>
      <c r="D41" s="21" t="s">
        <v>17</v>
      </c>
      <c r="E41" s="21" t="s">
        <v>27</v>
      </c>
      <c r="F41" s="21" t="s">
        <v>28</v>
      </c>
      <c r="G41" s="21" t="s">
        <v>18</v>
      </c>
      <c r="H41" s="21" t="s">
        <v>19</v>
      </c>
      <c r="I41" s="21" t="s">
        <v>12</v>
      </c>
      <c r="J41" s="21" t="s">
        <v>13</v>
      </c>
      <c r="K41" s="21" t="s">
        <v>15</v>
      </c>
      <c r="L41" s="21" t="s">
        <v>14</v>
      </c>
      <c r="M41" s="21" t="s">
        <v>29</v>
      </c>
      <c r="N41" s="21" t="s">
        <v>1</v>
      </c>
      <c r="O41" s="22" t="s">
        <v>2</v>
      </c>
    </row>
    <row r="42" spans="2:15" ht="10.5" x14ac:dyDescent="0.25">
      <c r="B42" s="36" t="s">
        <v>36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2:15" x14ac:dyDescent="0.2">
      <c r="B43" s="37" t="s">
        <v>21</v>
      </c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16">
        <v>0</v>
      </c>
    </row>
    <row r="44" spans="2:15" x14ac:dyDescent="0.2">
      <c r="B44" s="37" t="s">
        <v>23</v>
      </c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16">
        <v>0</v>
      </c>
    </row>
    <row r="45" spans="2:15" x14ac:dyDescent="0.2">
      <c r="B45" s="38" t="s">
        <v>22</v>
      </c>
      <c r="C45" s="12"/>
      <c r="D45" s="12"/>
      <c r="E45" s="12"/>
      <c r="F45" s="12"/>
      <c r="G45" s="12"/>
      <c r="H45" s="12"/>
      <c r="I45" s="12"/>
      <c r="J45" s="12"/>
      <c r="K45" s="13"/>
      <c r="L45" s="13"/>
      <c r="M45" s="13"/>
      <c r="N45" s="13"/>
      <c r="O45" s="17">
        <v>0</v>
      </c>
    </row>
    <row r="46" spans="2:15" x14ac:dyDescent="0.2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ht="10.5" x14ac:dyDescent="0.2">
      <c r="B48" s="34" t="s">
        <v>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v>0</v>
      </c>
    </row>
    <row r="49" spans="2:15" ht="10.5" x14ac:dyDescent="0.25">
      <c r="B49" s="4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</row>
    <row r="50" spans="2:15" ht="42" x14ac:dyDescent="0.25">
      <c r="B50" s="35" t="s">
        <v>30</v>
      </c>
      <c r="C50" s="21" t="s">
        <v>16</v>
      </c>
      <c r="D50" s="21" t="s">
        <v>17</v>
      </c>
      <c r="E50" s="21" t="s">
        <v>27</v>
      </c>
      <c r="F50" s="21" t="s">
        <v>28</v>
      </c>
      <c r="G50" s="21" t="s">
        <v>18</v>
      </c>
      <c r="H50" s="21" t="s">
        <v>19</v>
      </c>
      <c r="I50" s="21" t="s">
        <v>12</v>
      </c>
      <c r="J50" s="21" t="s">
        <v>13</v>
      </c>
      <c r="K50" s="21" t="s">
        <v>15</v>
      </c>
      <c r="L50" s="21" t="s">
        <v>14</v>
      </c>
      <c r="M50" s="21" t="s">
        <v>29</v>
      </c>
      <c r="N50" s="21" t="s">
        <v>1</v>
      </c>
      <c r="O50" s="22" t="s">
        <v>2</v>
      </c>
    </row>
    <row r="51" spans="2:15" ht="10.5" x14ac:dyDescent="0.25">
      <c r="B51" s="36" t="s">
        <v>31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2:15" x14ac:dyDescent="0.2">
      <c r="B52" s="37" t="s">
        <v>21</v>
      </c>
      <c r="C52" s="3"/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16">
        <v>0</v>
      </c>
    </row>
    <row r="53" spans="2:15" x14ac:dyDescent="0.2">
      <c r="B53" s="37" t="s">
        <v>23</v>
      </c>
      <c r="C53" s="3"/>
      <c r="D53" s="3"/>
      <c r="E53" s="3"/>
      <c r="F53" s="3"/>
      <c r="G53" s="3"/>
      <c r="H53" s="3"/>
      <c r="I53" s="3"/>
      <c r="J53" s="3"/>
      <c r="K53" s="4"/>
      <c r="L53" s="4"/>
      <c r="M53" s="4"/>
      <c r="N53" s="4"/>
      <c r="O53" s="16">
        <v>0</v>
      </c>
    </row>
    <row r="54" spans="2:15" x14ac:dyDescent="0.2">
      <c r="B54" s="38" t="s">
        <v>22</v>
      </c>
      <c r="C54" s="12"/>
      <c r="D54" s="12"/>
      <c r="E54" s="12"/>
      <c r="F54" s="12"/>
      <c r="G54" s="12"/>
      <c r="H54" s="12"/>
      <c r="I54" s="12"/>
      <c r="J54" s="12"/>
      <c r="K54" s="13"/>
      <c r="L54" s="13"/>
      <c r="M54" s="13"/>
      <c r="N54" s="13"/>
      <c r="O54" s="17">
        <v>0</v>
      </c>
    </row>
    <row r="55" spans="2:15" ht="10.5" x14ac:dyDescent="0.25">
      <c r="B55" s="4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</row>
    <row r="56" spans="2:15" ht="10.5" x14ac:dyDescent="0.25">
      <c r="B56" s="41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</row>
    <row r="57" spans="2:15" ht="10.5" x14ac:dyDescent="0.25">
      <c r="B57" s="34" t="s">
        <v>50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4"/>
    </row>
    <row r="58" spans="2:15" ht="10.5" x14ac:dyDescent="0.25">
      <c r="B58" s="4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8"/>
    </row>
    <row r="59" spans="2:15" ht="42" x14ac:dyDescent="0.25">
      <c r="B59" s="35" t="s">
        <v>9</v>
      </c>
      <c r="C59" s="21" t="s">
        <v>16</v>
      </c>
      <c r="D59" s="21" t="s">
        <v>17</v>
      </c>
      <c r="E59" s="21" t="s">
        <v>27</v>
      </c>
      <c r="F59" s="21" t="s">
        <v>28</v>
      </c>
      <c r="G59" s="21" t="s">
        <v>18</v>
      </c>
      <c r="H59" s="21" t="s">
        <v>19</v>
      </c>
      <c r="I59" s="21" t="s">
        <v>12</v>
      </c>
      <c r="J59" s="21" t="s">
        <v>13</v>
      </c>
      <c r="K59" s="21" t="s">
        <v>15</v>
      </c>
      <c r="L59" s="21" t="s">
        <v>14</v>
      </c>
      <c r="M59" s="21" t="s">
        <v>29</v>
      </c>
      <c r="N59" s="21" t="s">
        <v>1</v>
      </c>
      <c r="O59" s="22" t="s">
        <v>2</v>
      </c>
    </row>
    <row r="60" spans="2:15" ht="10.5" x14ac:dyDescent="0.25">
      <c r="B60" s="3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</row>
    <row r="61" spans="2:15" ht="10.5" x14ac:dyDescent="0.25">
      <c r="B61" s="43" t="s">
        <v>33</v>
      </c>
      <c r="C61" s="9">
        <v>56236865.269999996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9149108.5500000007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0">
        <v>65385973.819999993</v>
      </c>
    </row>
    <row r="62" spans="2:15" ht="10.5" x14ac:dyDescent="0.25">
      <c r="B62" s="36" t="s">
        <v>34</v>
      </c>
      <c r="C62" s="1">
        <v>28560962.509999998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20000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1">
        <v>28580962.509999998</v>
      </c>
    </row>
    <row r="63" spans="2:15" x14ac:dyDescent="0.2">
      <c r="B63" s="37" t="s">
        <v>21</v>
      </c>
      <c r="C63" s="3">
        <v>28560962.509999998</v>
      </c>
      <c r="D63" s="3"/>
      <c r="E63" s="3"/>
      <c r="F63" s="3"/>
      <c r="G63" s="3"/>
      <c r="H63" s="3"/>
      <c r="I63" s="3">
        <v>20000</v>
      </c>
      <c r="J63" s="3"/>
      <c r="K63" s="4"/>
      <c r="L63" s="4"/>
      <c r="M63" s="4"/>
      <c r="N63" s="4"/>
      <c r="O63" s="5">
        <v>28580962.509999998</v>
      </c>
    </row>
    <row r="64" spans="2:15" x14ac:dyDescent="0.2">
      <c r="B64" s="37" t="s">
        <v>23</v>
      </c>
      <c r="C64" s="3"/>
      <c r="D64" s="3"/>
      <c r="E64" s="3"/>
      <c r="F64" s="3"/>
      <c r="G64" s="3"/>
      <c r="H64" s="3"/>
      <c r="I64" s="3"/>
      <c r="J64" s="3"/>
      <c r="K64" s="4"/>
      <c r="L64" s="4"/>
      <c r="M64" s="4"/>
      <c r="N64" s="4"/>
      <c r="O64" s="5">
        <v>0</v>
      </c>
    </row>
    <row r="65" spans="2:15" x14ac:dyDescent="0.2">
      <c r="B65" s="38" t="s">
        <v>22</v>
      </c>
      <c r="C65" s="12"/>
      <c r="D65" s="12"/>
      <c r="E65" s="12"/>
      <c r="F65" s="12"/>
      <c r="G65" s="12"/>
      <c r="H65" s="12"/>
      <c r="I65" s="12"/>
      <c r="J65" s="12"/>
      <c r="K65" s="13"/>
      <c r="L65" s="13"/>
      <c r="M65" s="13"/>
      <c r="N65" s="13"/>
      <c r="O65" s="14">
        <v>0</v>
      </c>
    </row>
    <row r="66" spans="2:15" ht="10.5" x14ac:dyDescent="0.25">
      <c r="B66" s="36" t="s">
        <v>35</v>
      </c>
      <c r="C66" s="15">
        <v>27675902.759999998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9129108.5500000007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2">
        <v>36805011.310000002</v>
      </c>
    </row>
    <row r="67" spans="2:15" x14ac:dyDescent="0.2">
      <c r="B67" s="37" t="s">
        <v>21</v>
      </c>
      <c r="C67" s="3">
        <v>27675902.759999998</v>
      </c>
      <c r="D67" s="3"/>
      <c r="E67" s="3"/>
      <c r="F67" s="3"/>
      <c r="G67" s="3"/>
      <c r="H67" s="3"/>
      <c r="I67" s="3">
        <v>9129108.5500000007</v>
      </c>
      <c r="J67" s="3"/>
      <c r="K67" s="4"/>
      <c r="L67" s="4"/>
      <c r="M67" s="4"/>
      <c r="N67" s="4"/>
      <c r="O67" s="5">
        <v>36805011.310000002</v>
      </c>
    </row>
    <row r="68" spans="2:15" x14ac:dyDescent="0.2">
      <c r="B68" s="37" t="s">
        <v>23</v>
      </c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5">
        <v>0</v>
      </c>
    </row>
    <row r="69" spans="2:15" x14ac:dyDescent="0.2">
      <c r="B69" s="38" t="s">
        <v>22</v>
      </c>
      <c r="C69" s="12"/>
      <c r="D69" s="12"/>
      <c r="E69" s="12"/>
      <c r="F69" s="12"/>
      <c r="G69" s="12"/>
      <c r="H69" s="12"/>
      <c r="I69" s="12"/>
      <c r="J69" s="12"/>
      <c r="K69" s="13"/>
      <c r="L69" s="13"/>
      <c r="M69" s="13"/>
      <c r="N69" s="13"/>
      <c r="O69" s="14">
        <v>0</v>
      </c>
    </row>
    <row r="70" spans="2:15" x14ac:dyDescent="0.25">
      <c r="B70" s="44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2"/>
      <c r="O70" s="32"/>
    </row>
    <row r="71" spans="2:15" ht="10.5" x14ac:dyDescent="0.25">
      <c r="B71" s="43" t="s">
        <v>11</v>
      </c>
      <c r="C71" s="9">
        <v>78198516.709999993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9243838.4099999964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0">
        <v>87442355.11999999</v>
      </c>
    </row>
    <row r="72" spans="2:15" ht="10.5" x14ac:dyDescent="0.25">
      <c r="B72" s="36" t="s">
        <v>24</v>
      </c>
      <c r="C72" s="1">
        <v>74332974.629999995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9243838.4099999964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83576813.039999992</v>
      </c>
    </row>
    <row r="73" spans="2:15" x14ac:dyDescent="0.2">
      <c r="B73" s="37" t="s">
        <v>21</v>
      </c>
      <c r="C73" s="3">
        <v>74332974.629999995</v>
      </c>
      <c r="D73" s="3"/>
      <c r="E73" s="3"/>
      <c r="F73" s="3"/>
      <c r="G73" s="3"/>
      <c r="H73" s="3"/>
      <c r="I73" s="3">
        <v>9243838.4099999964</v>
      </c>
      <c r="J73" s="3"/>
      <c r="K73" s="4"/>
      <c r="L73" s="4"/>
      <c r="M73" s="4"/>
      <c r="N73" s="4"/>
      <c r="O73" s="16">
        <v>83576813.039999992</v>
      </c>
    </row>
    <row r="74" spans="2:15" x14ac:dyDescent="0.2">
      <c r="B74" s="37" t="s">
        <v>23</v>
      </c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16">
        <v>0</v>
      </c>
    </row>
    <row r="75" spans="2:15" x14ac:dyDescent="0.2">
      <c r="B75" s="38" t="s">
        <v>22</v>
      </c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17">
        <v>0</v>
      </c>
    </row>
    <row r="76" spans="2:15" ht="10.5" x14ac:dyDescent="0.25">
      <c r="B76" s="36" t="s">
        <v>10</v>
      </c>
      <c r="C76" s="1">
        <v>3865542.0799999996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3865542.0799999996</v>
      </c>
    </row>
    <row r="77" spans="2:15" x14ac:dyDescent="0.2">
      <c r="B77" s="37" t="s">
        <v>21</v>
      </c>
      <c r="C77" s="3">
        <v>3865542.0799999996</v>
      </c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16">
        <v>3865542.0799999996</v>
      </c>
    </row>
    <row r="78" spans="2:15" x14ac:dyDescent="0.2">
      <c r="B78" s="37" t="s">
        <v>23</v>
      </c>
      <c r="C78" s="3"/>
      <c r="D78" s="3"/>
      <c r="E78" s="3"/>
      <c r="F78" s="3"/>
      <c r="G78" s="3"/>
      <c r="H78" s="3"/>
      <c r="I78" s="3"/>
      <c r="J78" s="3"/>
      <c r="K78" s="4"/>
      <c r="L78" s="4"/>
      <c r="M78" s="4"/>
      <c r="N78" s="4"/>
      <c r="O78" s="16">
        <v>0</v>
      </c>
    </row>
    <row r="79" spans="2:15" x14ac:dyDescent="0.2">
      <c r="B79" s="38" t="s">
        <v>22</v>
      </c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17">
        <v>0</v>
      </c>
    </row>
    <row r="80" spans="2:15" ht="11" thickBot="1" x14ac:dyDescent="0.3">
      <c r="B80" s="39" t="s">
        <v>38</v>
      </c>
      <c r="C80" s="6">
        <v>-21961651.439999998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-94729.859999995679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7">
        <v>-22056381.299999993</v>
      </c>
    </row>
    <row r="81" spans="2:15" ht="10.5" thickTop="1" x14ac:dyDescent="0.25">
      <c r="B81" s="4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2:15" x14ac:dyDescent="0.25">
      <c r="B82" s="46" t="s">
        <v>32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>
        <v>0</v>
      </c>
    </row>
  </sheetData>
  <pageMargins left="0.75" right="0.75" top="1" bottom="1" header="0.5" footer="0.5"/>
  <pageSetup paperSize="9" scale="44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8" ma:contentTypeDescription="Create a new document." ma:contentTypeScope="" ma:versionID="ba38869fb92cb5b931f89c71efd6adad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0395c939cd0e7b17ed66d57e3e0e526e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04C8E7-DB0B-403E-B219-F57812B07AAA}"/>
</file>

<file path=customXml/itemProps2.xml><?xml version="1.0" encoding="utf-8"?>
<ds:datastoreItem xmlns:ds="http://schemas.openxmlformats.org/officeDocument/2006/customXml" ds:itemID="{21B44D83-7F89-4247-833C-DDD83EBE362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b70c27-db50-458a-a70f-62ed7edb384e"/>
    <ds:schemaRef ds:uri="2d8325d5-bdf0-4efc-adcc-5268530b79df"/>
    <ds:schemaRef ds:uri="http://schemas.microsoft.com/sharepoint/v3"/>
    <ds:schemaRef ds:uri="http://purl.org/dc/terms/"/>
    <ds:schemaRef ds:uri="http://schemas.openxmlformats.org/package/2006/metadata/core-properties"/>
    <ds:schemaRef ds:uri="181f015d-039c-48e4-a316-4544066718b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937F85-A845-4A03-A021-34EB5D02FE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</vt:lpstr>
      <vt:lpstr>AXF</vt:lpstr>
      <vt:lpstr>Discovery</vt:lpstr>
      <vt:lpstr>FNB</vt:lpstr>
      <vt:lpstr>GlobalAdmin</vt:lpstr>
      <vt:lpstr>Momentum</vt:lpstr>
      <vt:lpstr>NinetyOne</vt:lpstr>
      <vt:lpstr>Peregrine</vt:lpstr>
      <vt:lpstr>Sanlam</vt:lpstr>
      <vt:lpstr>AXF!Print_Area</vt:lpstr>
      <vt:lpstr>Discovery!Print_Area</vt:lpstr>
      <vt:lpstr>FNB!Print_Area</vt:lpstr>
      <vt:lpstr>GlobalAdmin!Print_Area</vt:lpstr>
      <vt:lpstr>NinetyOne!Print_Area</vt:lpstr>
      <vt:lpstr>Peregrine!Print_Area</vt:lpstr>
      <vt:lpstr>Sanlam!Print_Area</vt:lpstr>
      <vt:lpstr>Summary!Print_Area</vt:lpstr>
    </vt:vector>
  </TitlesOfParts>
  <Company>Investec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Daryll Welsh</dc:creator>
  <cp:lastModifiedBy>Sunette Mulder</cp:lastModifiedBy>
  <cp:lastPrinted>2022-07-11T23:56:31Z</cp:lastPrinted>
  <dcterms:created xsi:type="dcterms:W3CDTF">2008-04-11T08:57:00Z</dcterms:created>
  <dcterms:modified xsi:type="dcterms:W3CDTF">2023-09-08T08:23:17Z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71f5e209-6f2a-4b58-b4ec-8fd798c3d2df_Enabled">
    <vt:lpwstr>true</vt:lpwstr>
  </property>
  <property fmtid="{D5CDD505-2E9C-101B-9397-08002B2CF9AE}" pid="4" name="MSIP_Label_71f5e209-6f2a-4b58-b4ec-8fd798c3d2df_SetDate">
    <vt:lpwstr>2023-07-12T11:43:07Z</vt:lpwstr>
  </property>
  <property fmtid="{D5CDD505-2E9C-101B-9397-08002B2CF9AE}" pid="5" name="MSIP_Label_71f5e209-6f2a-4b58-b4ec-8fd798c3d2df_Method">
    <vt:lpwstr>Privileged</vt:lpwstr>
  </property>
  <property fmtid="{D5CDD505-2E9C-101B-9397-08002B2CF9AE}" pid="6" name="MSIP_Label_71f5e209-6f2a-4b58-b4ec-8fd798c3d2df_Name">
    <vt:lpwstr>Protected</vt:lpwstr>
  </property>
  <property fmtid="{D5CDD505-2E9C-101B-9397-08002B2CF9AE}" pid="7" name="MSIP_Label_71f5e209-6f2a-4b58-b4ec-8fd798c3d2df_SiteId">
    <vt:lpwstr>c1aa44b8-e725-4ded-a329-8b8cedb3dbf1</vt:lpwstr>
  </property>
  <property fmtid="{D5CDD505-2E9C-101B-9397-08002B2CF9AE}" pid="8" name="MSIP_Label_71f5e209-6f2a-4b58-b4ec-8fd798c3d2df_ActionId">
    <vt:lpwstr>98163907-14cf-4fc4-8b58-1642000813d9</vt:lpwstr>
  </property>
  <property fmtid="{D5CDD505-2E9C-101B-9397-08002B2CF9AE}" pid="9" name="MSIP_Label_71f5e209-6f2a-4b58-b4ec-8fd798c3d2df_ContentBits">
    <vt:lpwstr>2</vt:lpwstr>
  </property>
  <property fmtid="{D5CDD505-2E9C-101B-9397-08002B2CF9AE}" pid="10" name="ContentTypeId">
    <vt:lpwstr>0x010100CA73519A9300F148A97E81A6D939BD7B</vt:lpwstr>
  </property>
</Properties>
</file>